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X\Desktop\"/>
    </mc:Choice>
  </mc:AlternateContent>
  <bookViews>
    <workbookView xWindow="0" yWindow="0" windowWidth="15330" windowHeight="6135" tabRatio="804"/>
  </bookViews>
  <sheets>
    <sheet name="СТ" sheetId="20" r:id="rId1"/>
    <sheet name="Sheet21" sheetId="21" r:id="rId2"/>
  </sheets>
  <calcPr calcId="152511"/>
</workbook>
</file>

<file path=xl/calcChain.xml><?xml version="1.0" encoding="utf-8"?>
<calcChain xmlns="http://schemas.openxmlformats.org/spreadsheetml/2006/main">
  <c r="S106" i="20" l="1"/>
  <c r="R106" i="20"/>
  <c r="AQ105" i="20" l="1"/>
  <c r="AP105" i="20"/>
  <c r="AN105" i="20"/>
  <c r="AL105" i="20"/>
  <c r="AI105" i="20"/>
  <c r="AE105" i="20"/>
  <c r="AD105" i="20"/>
  <c r="Z105" i="20"/>
  <c r="X105" i="20"/>
  <c r="W105" i="20"/>
  <c r="V105" i="20"/>
  <c r="S105" i="20"/>
  <c r="R105" i="20"/>
  <c r="K105" i="20"/>
  <c r="I105" i="20"/>
  <c r="H105" i="20"/>
  <c r="G105" i="20"/>
  <c r="AO104" i="20"/>
  <c r="AR104" i="20" s="1"/>
  <c r="AS104" i="20" s="1"/>
  <c r="AJ104" i="20"/>
  <c r="AB104" i="20"/>
  <c r="AF104" i="20" s="1"/>
  <c r="AG104" i="20" s="1"/>
  <c r="AA104" i="20"/>
  <c r="L104" i="20"/>
  <c r="AR103" i="20"/>
  <c r="AS103" i="20" s="1"/>
  <c r="AO103" i="20"/>
  <c r="AJ103" i="20"/>
  <c r="AF103" i="20"/>
  <c r="AG103" i="20" s="1"/>
  <c r="AB103" i="20"/>
  <c r="AA103" i="20"/>
  <c r="L103" i="20"/>
  <c r="AS102" i="20"/>
  <c r="AO102" i="20"/>
  <c r="AR102" i="20" s="1"/>
  <c r="AJ102" i="20"/>
  <c r="AB102" i="20"/>
  <c r="AA102" i="20"/>
  <c r="L102" i="20"/>
  <c r="AO101" i="20"/>
  <c r="AR101" i="20" s="1"/>
  <c r="AS101" i="20" s="1"/>
  <c r="AJ101" i="20"/>
  <c r="AB101" i="20"/>
  <c r="AA101" i="20"/>
  <c r="AF101" i="20" s="1"/>
  <c r="AG101" i="20" s="1"/>
  <c r="L101" i="20"/>
  <c r="AO100" i="20"/>
  <c r="AR100" i="20" s="1"/>
  <c r="AS100" i="20" s="1"/>
  <c r="AJ100" i="20"/>
  <c r="AB100" i="20"/>
  <c r="AF100" i="20" s="1"/>
  <c r="AG100" i="20" s="1"/>
  <c r="AA100" i="20"/>
  <c r="L100" i="20"/>
  <c r="AR99" i="20"/>
  <c r="AS99" i="20" s="1"/>
  <c r="AO99" i="20"/>
  <c r="AJ99" i="20"/>
  <c r="AF99" i="20"/>
  <c r="AG99" i="20" s="1"/>
  <c r="AB99" i="20"/>
  <c r="AA99" i="20"/>
  <c r="L99" i="20"/>
  <c r="AS98" i="20"/>
  <c r="AO98" i="20"/>
  <c r="AR98" i="20" s="1"/>
  <c r="AJ98" i="20"/>
  <c r="AB98" i="20"/>
  <c r="AA98" i="20"/>
  <c r="L98" i="20"/>
  <c r="AO97" i="20"/>
  <c r="AR97" i="20" s="1"/>
  <c r="AS97" i="20" s="1"/>
  <c r="AJ97" i="20"/>
  <c r="AB97" i="20"/>
  <c r="AA97" i="20"/>
  <c r="L97" i="20"/>
  <c r="AO96" i="20"/>
  <c r="AR96" i="20" s="1"/>
  <c r="AS96" i="20" s="1"/>
  <c r="AJ96" i="20"/>
  <c r="AB96" i="20"/>
  <c r="AF96" i="20" s="1"/>
  <c r="AG96" i="20" s="1"/>
  <c r="AA96" i="20"/>
  <c r="L96" i="20"/>
  <c r="AR95" i="20"/>
  <c r="AS95" i="20" s="1"/>
  <c r="AO95" i="20"/>
  <c r="AJ95" i="20"/>
  <c r="AF95" i="20"/>
  <c r="AG95" i="20" s="1"/>
  <c r="AB95" i="20"/>
  <c r="AA95" i="20"/>
  <c r="L95" i="20"/>
  <c r="AS94" i="20"/>
  <c r="AO94" i="20"/>
  <c r="AR94" i="20" s="1"/>
  <c r="AJ94" i="20"/>
  <c r="AB94" i="20"/>
  <c r="AA94" i="20"/>
  <c r="L94" i="20"/>
  <c r="AO93" i="20"/>
  <c r="AR93" i="20" s="1"/>
  <c r="AS93" i="20" s="1"/>
  <c r="AJ93" i="20"/>
  <c r="AB93" i="20"/>
  <c r="AA93" i="20"/>
  <c r="AF93" i="20" s="1"/>
  <c r="AG93" i="20" s="1"/>
  <c r="L93" i="20"/>
  <c r="AR92" i="20"/>
  <c r="AS92" i="20" s="1"/>
  <c r="AO92" i="20"/>
  <c r="AN92" i="20"/>
  <c r="AJ92" i="20"/>
  <c r="AF92" i="20"/>
  <c r="AB92" i="20"/>
  <c r="AA92" i="20"/>
  <c r="L92" i="20"/>
  <c r="AG92" i="20" s="1"/>
  <c r="AS91" i="20"/>
  <c r="AO91" i="20"/>
  <c r="AR91" i="20" s="1"/>
  <c r="AJ91" i="20"/>
  <c r="AB91" i="20"/>
  <c r="AA91" i="20"/>
  <c r="L91" i="20"/>
  <c r="AR90" i="20"/>
  <c r="AS90" i="20" s="1"/>
  <c r="AO90" i="20"/>
  <c r="AJ90" i="20"/>
  <c r="AB90" i="20"/>
  <c r="AA90" i="20"/>
  <c r="AF90" i="20" s="1"/>
  <c r="AG90" i="20" s="1"/>
  <c r="L90" i="20"/>
  <c r="AO89" i="20"/>
  <c r="AR89" i="20" s="1"/>
  <c r="AS89" i="20" s="1"/>
  <c r="AJ89" i="20"/>
  <c r="AB89" i="20"/>
  <c r="AF89" i="20" s="1"/>
  <c r="AG89" i="20" s="1"/>
  <c r="AA89" i="20"/>
  <c r="L89" i="20"/>
  <c r="AR88" i="20"/>
  <c r="AS88" i="20" s="1"/>
  <c r="AO88" i="20"/>
  <c r="AJ88" i="20"/>
  <c r="AF88" i="20"/>
  <c r="AG88" i="20" s="1"/>
  <c r="AB88" i="20"/>
  <c r="AA88" i="20"/>
  <c r="L88" i="20"/>
  <c r="AS87" i="20"/>
  <c r="AO87" i="20"/>
  <c r="AR87" i="20" s="1"/>
  <c r="AJ87" i="20"/>
  <c r="AB87" i="20"/>
  <c r="AA87" i="20"/>
  <c r="L87" i="20"/>
  <c r="AO86" i="20"/>
  <c r="AR86" i="20" s="1"/>
  <c r="AS86" i="20" s="1"/>
  <c r="AJ86" i="20"/>
  <c r="AB86" i="20"/>
  <c r="AA86" i="20"/>
  <c r="L86" i="20"/>
  <c r="AO85" i="20"/>
  <c r="AR85" i="20" s="1"/>
  <c r="AS85" i="20" s="1"/>
  <c r="AJ85" i="20"/>
  <c r="AB85" i="20"/>
  <c r="AF85" i="20" s="1"/>
  <c r="AG85" i="20" s="1"/>
  <c r="O85" i="20"/>
  <c r="N85" i="20"/>
  <c r="AA85" i="20" s="1"/>
  <c r="L85" i="20"/>
  <c r="AR84" i="20"/>
  <c r="AS84" i="20" s="1"/>
  <c r="AO84" i="20"/>
  <c r="AJ84" i="20"/>
  <c r="AB84" i="20"/>
  <c r="AF84" i="20" s="1"/>
  <c r="AG84" i="20" s="1"/>
  <c r="AA84" i="20"/>
  <c r="L84" i="20"/>
  <c r="AR83" i="20"/>
  <c r="AS83" i="20" s="1"/>
  <c r="AO83" i="20"/>
  <c r="AJ83" i="20"/>
  <c r="AF83" i="20"/>
  <c r="AG83" i="20" s="1"/>
  <c r="AB83" i="20"/>
  <c r="AA83" i="20"/>
  <c r="L83" i="20"/>
  <c r="AS82" i="20"/>
  <c r="AR82" i="20"/>
  <c r="AO82" i="20"/>
  <c r="AJ82" i="20"/>
  <c r="AG82" i="20"/>
  <c r="AB82" i="20"/>
  <c r="AA82" i="20"/>
  <c r="AF82" i="20" s="1"/>
  <c r="L82" i="20"/>
  <c r="AO81" i="20"/>
  <c r="AR81" i="20" s="1"/>
  <c r="AJ81" i="20"/>
  <c r="AB81" i="20"/>
  <c r="AA81" i="20"/>
  <c r="AF81" i="20" s="1"/>
  <c r="L81" i="20"/>
  <c r="AG81" i="20" s="1"/>
  <c r="AR80" i="20"/>
  <c r="AS80" i="20" s="1"/>
  <c r="AO80" i="20"/>
  <c r="AJ80" i="20"/>
  <c r="AF80" i="20"/>
  <c r="AG80" i="20" s="1"/>
  <c r="AB80" i="20"/>
  <c r="AA80" i="20"/>
  <c r="L80" i="20"/>
  <c r="AS79" i="20"/>
  <c r="AR79" i="20"/>
  <c r="AO79" i="20"/>
  <c r="AJ79" i="20"/>
  <c r="AF79" i="20"/>
  <c r="AB79" i="20"/>
  <c r="AA79" i="20"/>
  <c r="L79" i="20"/>
  <c r="AG79" i="20" s="1"/>
  <c r="AR78" i="20"/>
  <c r="AO78" i="20"/>
  <c r="AJ78" i="20"/>
  <c r="AS78" i="20" s="1"/>
  <c r="AB78" i="20"/>
  <c r="AA78" i="20"/>
  <c r="AF78" i="20" s="1"/>
  <c r="AG78" i="20" s="1"/>
  <c r="L78" i="20"/>
  <c r="AO77" i="20"/>
  <c r="AR77" i="20" s="1"/>
  <c r="AJ77" i="20"/>
  <c r="AG77" i="20"/>
  <c r="AB77" i="20"/>
  <c r="AA77" i="20"/>
  <c r="AF77" i="20" s="1"/>
  <c r="L77" i="20"/>
  <c r="AR76" i="20"/>
  <c r="AS76" i="20" s="1"/>
  <c r="AO76" i="20"/>
  <c r="AJ76" i="20"/>
  <c r="AB76" i="20"/>
  <c r="AF76" i="20" s="1"/>
  <c r="AG76" i="20" s="1"/>
  <c r="AA76" i="20"/>
  <c r="L76" i="20"/>
  <c r="AR75" i="20"/>
  <c r="AS75" i="20" s="1"/>
  <c r="AO75" i="20"/>
  <c r="AJ75" i="20"/>
  <c r="AF75" i="20"/>
  <c r="AG75" i="20" s="1"/>
  <c r="AB75" i="20"/>
  <c r="AA75" i="20"/>
  <c r="L75" i="20"/>
  <c r="AS74" i="20"/>
  <c r="AR74" i="20"/>
  <c r="AO74" i="20"/>
  <c r="AJ74" i="20"/>
  <c r="AG74" i="20"/>
  <c r="AB74" i="20"/>
  <c r="AA74" i="20"/>
  <c r="AF74" i="20" s="1"/>
  <c r="L74" i="20"/>
  <c r="AO73" i="20"/>
  <c r="AR73" i="20" s="1"/>
  <c r="AJ73" i="20"/>
  <c r="AB73" i="20"/>
  <c r="AA73" i="20"/>
  <c r="AF73" i="20" s="1"/>
  <c r="L73" i="20"/>
  <c r="AG73" i="20" s="1"/>
  <c r="AR72" i="20"/>
  <c r="AS72" i="20" s="1"/>
  <c r="AO72" i="20"/>
  <c r="AJ72" i="20"/>
  <c r="AF72" i="20"/>
  <c r="AG72" i="20" s="1"/>
  <c r="AB72" i="20"/>
  <c r="AA72" i="20"/>
  <c r="L72" i="20"/>
  <c r="AS71" i="20"/>
  <c r="AR71" i="20"/>
  <c r="AO71" i="20"/>
  <c r="AJ71" i="20"/>
  <c r="AF71" i="20"/>
  <c r="AB71" i="20"/>
  <c r="Y71" i="20"/>
  <c r="AA71" i="20" s="1"/>
  <c r="L71" i="20"/>
  <c r="AG71" i="20" s="1"/>
  <c r="AS70" i="20"/>
  <c r="AO70" i="20"/>
  <c r="AR70" i="20" s="1"/>
  <c r="AJ70" i="20"/>
  <c r="AB70" i="20"/>
  <c r="AA70" i="20"/>
  <c r="O70" i="20"/>
  <c r="O105" i="20" s="1"/>
  <c r="N70" i="20"/>
  <c r="L70" i="20"/>
  <c r="AR69" i="20"/>
  <c r="AO69" i="20"/>
  <c r="AJ69" i="20"/>
  <c r="AB69" i="20"/>
  <c r="AA69" i="20"/>
  <c r="AF69" i="20" s="1"/>
  <c r="AG69" i="20" s="1"/>
  <c r="L69" i="20"/>
  <c r="AO68" i="20"/>
  <c r="AR68" i="20" s="1"/>
  <c r="AS68" i="20" s="1"/>
  <c r="AJ68" i="20"/>
  <c r="AB68" i="20"/>
  <c r="AA68" i="20"/>
  <c r="AF68" i="20" s="1"/>
  <c r="L68" i="20"/>
  <c r="AO67" i="20"/>
  <c r="AR67" i="20" s="1"/>
  <c r="AJ67" i="20"/>
  <c r="AF67" i="20"/>
  <c r="AG67" i="20" s="1"/>
  <c r="AB67" i="20"/>
  <c r="AA67" i="20"/>
  <c r="L67" i="20"/>
  <c r="AO66" i="20"/>
  <c r="AR66" i="20" s="1"/>
  <c r="AS66" i="20" s="1"/>
  <c r="AJ66" i="20"/>
  <c r="AB66" i="20"/>
  <c r="AF66" i="20" s="1"/>
  <c r="AG66" i="20" s="1"/>
  <c r="AA66" i="20"/>
  <c r="L66" i="20"/>
  <c r="AR65" i="20"/>
  <c r="AO65" i="20"/>
  <c r="AJ65" i="20"/>
  <c r="AB65" i="20"/>
  <c r="AA65" i="20"/>
  <c r="AF65" i="20" s="1"/>
  <c r="AG65" i="20" s="1"/>
  <c r="L65" i="20"/>
  <c r="AO64" i="20"/>
  <c r="AR64" i="20" s="1"/>
  <c r="AS64" i="20" s="1"/>
  <c r="AJ64" i="20"/>
  <c r="AB64" i="20"/>
  <c r="AA64" i="20"/>
  <c r="AF64" i="20" s="1"/>
  <c r="L64" i="20"/>
  <c r="AO63" i="20"/>
  <c r="AR63" i="20" s="1"/>
  <c r="AJ63" i="20"/>
  <c r="AF63" i="20"/>
  <c r="AG63" i="20" s="1"/>
  <c r="AB63" i="20"/>
  <c r="AA63" i="20"/>
  <c r="L63" i="20"/>
  <c r="AO62" i="20"/>
  <c r="AR62" i="20" s="1"/>
  <c r="AS62" i="20" s="1"/>
  <c r="AJ62" i="20"/>
  <c r="AB62" i="20"/>
  <c r="AF62" i="20" s="1"/>
  <c r="AG62" i="20" s="1"/>
  <c r="AA62" i="20"/>
  <c r="L62" i="20"/>
  <c r="AR61" i="20"/>
  <c r="AO61" i="20"/>
  <c r="AJ61" i="20"/>
  <c r="AB61" i="20"/>
  <c r="AA61" i="20"/>
  <c r="AF61" i="20" s="1"/>
  <c r="AG61" i="20" s="1"/>
  <c r="L61" i="20"/>
  <c r="AO60" i="20"/>
  <c r="AR60" i="20" s="1"/>
  <c r="AS60" i="20" s="1"/>
  <c r="AJ60" i="20"/>
  <c r="AB60" i="20"/>
  <c r="AA60" i="20"/>
  <c r="AF60" i="20" s="1"/>
  <c r="L60" i="20"/>
  <c r="AO59" i="20"/>
  <c r="AR59" i="20" s="1"/>
  <c r="AJ59" i="20"/>
  <c r="AF59" i="20"/>
  <c r="AG59" i="20" s="1"/>
  <c r="AB59" i="20"/>
  <c r="AA59" i="20"/>
  <c r="L59" i="20"/>
  <c r="AO58" i="20"/>
  <c r="AR58" i="20" s="1"/>
  <c r="AS58" i="20" s="1"/>
  <c r="AJ58" i="20"/>
  <c r="AB58" i="20"/>
  <c r="AF58" i="20" s="1"/>
  <c r="AG58" i="20" s="1"/>
  <c r="AA58" i="20"/>
  <c r="L58" i="20"/>
  <c r="AR57" i="20"/>
  <c r="AO57" i="20"/>
  <c r="AJ57" i="20"/>
  <c r="AB57" i="20"/>
  <c r="AA57" i="20"/>
  <c r="AF57" i="20" s="1"/>
  <c r="AG57" i="20" s="1"/>
  <c r="L57" i="20"/>
  <c r="AO56" i="20"/>
  <c r="AR56" i="20" s="1"/>
  <c r="AS56" i="20" s="1"/>
  <c r="AJ56" i="20"/>
  <c r="AB56" i="20"/>
  <c r="Y56" i="20"/>
  <c r="AA56" i="20" s="1"/>
  <c r="AF56" i="20" s="1"/>
  <c r="AG56" i="20" s="1"/>
  <c r="L56" i="20"/>
  <c r="AO55" i="20"/>
  <c r="AR55" i="20" s="1"/>
  <c r="AS55" i="20" s="1"/>
  <c r="AJ55" i="20"/>
  <c r="AB55" i="20"/>
  <c r="AF55" i="20" s="1"/>
  <c r="AG55" i="20" s="1"/>
  <c r="AA55" i="20"/>
  <c r="L55" i="20"/>
  <c r="M55" i="20" s="1"/>
  <c r="M105" i="20" s="1"/>
  <c r="AS54" i="20"/>
  <c r="AO54" i="20"/>
  <c r="AR54" i="20" s="1"/>
  <c r="AJ54" i="20"/>
  <c r="AB54" i="20"/>
  <c r="AA54" i="20"/>
  <c r="L54" i="20"/>
  <c r="AR53" i="20"/>
  <c r="AS53" i="20" s="1"/>
  <c r="AO53" i="20"/>
  <c r="AJ53" i="20"/>
  <c r="AB53" i="20"/>
  <c r="AA53" i="20"/>
  <c r="AF53" i="20" s="1"/>
  <c r="AG53" i="20" s="1"/>
  <c r="Y53" i="20"/>
  <c r="L53" i="20"/>
  <c r="AR52" i="20"/>
  <c r="AS52" i="20" s="1"/>
  <c r="AO52" i="20"/>
  <c r="AJ52" i="20"/>
  <c r="AF52" i="20"/>
  <c r="AG52" i="20" s="1"/>
  <c r="AB52" i="20"/>
  <c r="AA52" i="20"/>
  <c r="L52" i="20"/>
  <c r="AS51" i="20"/>
  <c r="AO51" i="20"/>
  <c r="AR51" i="20" s="1"/>
  <c r="AJ51" i="20"/>
  <c r="AB51" i="20"/>
  <c r="AA51" i="20"/>
  <c r="L51" i="20"/>
  <c r="AO50" i="20"/>
  <c r="AR50" i="20" s="1"/>
  <c r="AS50" i="20" s="1"/>
  <c r="AJ50" i="20"/>
  <c r="AB50" i="20"/>
  <c r="AA50" i="20"/>
  <c r="AF50" i="20" s="1"/>
  <c r="AG50" i="20" s="1"/>
  <c r="L50" i="20"/>
  <c r="AO49" i="20"/>
  <c r="AR49" i="20" s="1"/>
  <c r="AS49" i="20" s="1"/>
  <c r="AJ49" i="20"/>
  <c r="AF49" i="20"/>
  <c r="AG49" i="20" s="1"/>
  <c r="AB49" i="20"/>
  <c r="AA49" i="20"/>
  <c r="L49" i="20"/>
  <c r="AS48" i="20"/>
  <c r="AR48" i="20"/>
  <c r="AO48" i="20"/>
  <c r="AJ48" i="20"/>
  <c r="AF48" i="20"/>
  <c r="AB48" i="20"/>
  <c r="AA48" i="20"/>
  <c r="L48" i="20"/>
  <c r="AG48" i="20" s="1"/>
  <c r="AS47" i="20"/>
  <c r="AO47" i="20"/>
  <c r="AR47" i="20" s="1"/>
  <c r="AJ47" i="20"/>
  <c r="AB47" i="20"/>
  <c r="AA47" i="20"/>
  <c r="L47" i="20"/>
  <c r="AR46" i="20"/>
  <c r="AS46" i="20" s="1"/>
  <c r="AO46" i="20"/>
  <c r="AJ46" i="20"/>
  <c r="AB46" i="20"/>
  <c r="AA46" i="20"/>
  <c r="AF46" i="20" s="1"/>
  <c r="AG46" i="20" s="1"/>
  <c r="L46" i="20"/>
  <c r="AO45" i="20"/>
  <c r="AR45" i="20" s="1"/>
  <c r="AS45" i="20" s="1"/>
  <c r="AJ45" i="20"/>
  <c r="AB45" i="20"/>
  <c r="AF45" i="20" s="1"/>
  <c r="AG45" i="20" s="1"/>
  <c r="Z45" i="20"/>
  <c r="Y45" i="20"/>
  <c r="AA45" i="20" s="1"/>
  <c r="L45" i="20"/>
  <c r="AR44" i="20"/>
  <c r="AS44" i="20" s="1"/>
  <c r="AO44" i="20"/>
  <c r="AJ44" i="20"/>
  <c r="AB44" i="20"/>
  <c r="AF44" i="20" s="1"/>
  <c r="AG44" i="20" s="1"/>
  <c r="AA44" i="20"/>
  <c r="L44" i="20"/>
  <c r="AR43" i="20"/>
  <c r="AS43" i="20" s="1"/>
  <c r="AO43" i="20"/>
  <c r="AJ43" i="20"/>
  <c r="AF43" i="20"/>
  <c r="AG43" i="20" s="1"/>
  <c r="AB43" i="20"/>
  <c r="AA43" i="20"/>
  <c r="L43" i="20"/>
  <c r="AS42" i="20"/>
  <c r="AR42" i="20"/>
  <c r="AO42" i="20"/>
  <c r="AJ42" i="20"/>
  <c r="AB42" i="20"/>
  <c r="AA42" i="20"/>
  <c r="AF42" i="20" s="1"/>
  <c r="AG42" i="20" s="1"/>
  <c r="L42" i="20"/>
  <c r="AO41" i="20"/>
  <c r="AR41" i="20" s="1"/>
  <c r="AJ41" i="20"/>
  <c r="AG41" i="20"/>
  <c r="AB41" i="20"/>
  <c r="AA41" i="20"/>
  <c r="AF41" i="20" s="1"/>
  <c r="L41" i="20"/>
  <c r="AR40" i="20"/>
  <c r="AS40" i="20" s="1"/>
  <c r="AO40" i="20"/>
  <c r="AJ40" i="20"/>
  <c r="AB40" i="20"/>
  <c r="AF40" i="20" s="1"/>
  <c r="AG40" i="20" s="1"/>
  <c r="AA40" i="20"/>
  <c r="L40" i="20"/>
  <c r="AR39" i="20"/>
  <c r="AS39" i="20" s="1"/>
  <c r="AO39" i="20"/>
  <c r="AJ39" i="20"/>
  <c r="AF39" i="20"/>
  <c r="AG39" i="20" s="1"/>
  <c r="Z39" i="20"/>
  <c r="AB39" i="20" s="1"/>
  <c r="Y39" i="20"/>
  <c r="AA39" i="20" s="1"/>
  <c r="L39" i="20"/>
  <c r="AO38" i="20"/>
  <c r="AR38" i="20" s="1"/>
  <c r="AS38" i="20" s="1"/>
  <c r="AJ38" i="20"/>
  <c r="AF38" i="20"/>
  <c r="AG38" i="20" s="1"/>
  <c r="AB38" i="20"/>
  <c r="AA38" i="20"/>
  <c r="L38" i="20"/>
  <c r="AO37" i="20"/>
  <c r="AR37" i="20" s="1"/>
  <c r="AS37" i="20" s="1"/>
  <c r="AJ37" i="20"/>
  <c r="AC37" i="20"/>
  <c r="AB37" i="20"/>
  <c r="AA37" i="20"/>
  <c r="AF37" i="20" s="1"/>
  <c r="AG37" i="20" s="1"/>
  <c r="L37" i="20"/>
  <c r="AO36" i="20"/>
  <c r="AR36" i="20" s="1"/>
  <c r="AJ36" i="20"/>
  <c r="AB36" i="20"/>
  <c r="AA36" i="20"/>
  <c r="AF36" i="20" s="1"/>
  <c r="L36" i="20"/>
  <c r="AO35" i="20"/>
  <c r="AR35" i="20" s="1"/>
  <c r="AJ35" i="20"/>
  <c r="AF35" i="20"/>
  <c r="AG35" i="20" s="1"/>
  <c r="AB35" i="20"/>
  <c r="AA35" i="20"/>
  <c r="L35" i="20"/>
  <c r="AO34" i="20"/>
  <c r="AR34" i="20" s="1"/>
  <c r="AS34" i="20" s="1"/>
  <c r="AJ34" i="20"/>
  <c r="AG34" i="20"/>
  <c r="AB34" i="20"/>
  <c r="AF34" i="20" s="1"/>
  <c r="AA34" i="20"/>
  <c r="L34" i="20"/>
  <c r="AR33" i="20"/>
  <c r="AS33" i="20" s="1"/>
  <c r="AO33" i="20"/>
  <c r="AJ33" i="20"/>
  <c r="AB33" i="20"/>
  <c r="AA33" i="20"/>
  <c r="AF33" i="20" s="1"/>
  <c r="AG33" i="20" s="1"/>
  <c r="I33" i="20"/>
  <c r="L33" i="20" s="1"/>
  <c r="AO32" i="20"/>
  <c r="AR32" i="20" s="1"/>
  <c r="AS32" i="20" s="1"/>
  <c r="AJ32" i="20"/>
  <c r="AB32" i="20"/>
  <c r="AA32" i="20"/>
  <c r="AF32" i="20" s="1"/>
  <c r="AG32" i="20" s="1"/>
  <c r="L32" i="20"/>
  <c r="AR31" i="20"/>
  <c r="AS31" i="20" s="1"/>
  <c r="AO31" i="20"/>
  <c r="AJ31" i="20"/>
  <c r="AB31" i="20"/>
  <c r="AF31" i="20" s="1"/>
  <c r="AG31" i="20" s="1"/>
  <c r="Z31" i="20"/>
  <c r="Y31" i="20"/>
  <c r="AA31" i="20" s="1"/>
  <c r="L31" i="20"/>
  <c r="AO30" i="20"/>
  <c r="AR30" i="20" s="1"/>
  <c r="AH30" i="20"/>
  <c r="AH105" i="20" s="1"/>
  <c r="AB30" i="20"/>
  <c r="AA30" i="20"/>
  <c r="L30" i="20"/>
  <c r="AO29" i="20"/>
  <c r="AR29" i="20" s="1"/>
  <c r="AS29" i="20" s="1"/>
  <c r="AJ29" i="20"/>
  <c r="AB29" i="20"/>
  <c r="AF29" i="20" s="1"/>
  <c r="AG29" i="20" s="1"/>
  <c r="AA29" i="20"/>
  <c r="L29" i="20"/>
  <c r="AN28" i="20"/>
  <c r="AM28" i="20"/>
  <c r="AK28" i="20"/>
  <c r="AK105" i="20" s="1"/>
  <c r="AJ28" i="20"/>
  <c r="Y28" i="20"/>
  <c r="U28" i="20"/>
  <c r="AB28" i="20" s="1"/>
  <c r="T28" i="20"/>
  <c r="T105" i="20" s="1"/>
  <c r="R28" i="20"/>
  <c r="Q28" i="20"/>
  <c r="P28" i="20"/>
  <c r="N28" i="20"/>
  <c r="J28" i="20"/>
  <c r="L28" i="20" s="1"/>
  <c r="AR27" i="20"/>
  <c r="AS27" i="20" s="1"/>
  <c r="AO27" i="20"/>
  <c r="AJ27" i="20"/>
  <c r="AF27" i="20"/>
  <c r="AG27" i="20" s="1"/>
  <c r="AB27" i="20"/>
  <c r="AA27" i="20"/>
  <c r="L27" i="20"/>
  <c r="AO26" i="20"/>
  <c r="AR26" i="20" s="1"/>
  <c r="AS26" i="20" s="1"/>
  <c r="AJ26" i="20"/>
  <c r="AD26" i="20"/>
  <c r="AC26" i="20"/>
  <c r="AB26" i="20"/>
  <c r="AA26" i="20"/>
  <c r="L26" i="20"/>
  <c r="AS25" i="20"/>
  <c r="AR25" i="20"/>
  <c r="AO25" i="20"/>
  <c r="AJ25" i="20"/>
  <c r="Q25" i="20"/>
  <c r="AB25" i="20" s="1"/>
  <c r="P25" i="20"/>
  <c r="AA25" i="20" s="1"/>
  <c r="AF25" i="20" s="1"/>
  <c r="AG25" i="20" s="1"/>
  <c r="L25" i="20"/>
  <c r="AO24" i="20"/>
  <c r="AR24" i="20" s="1"/>
  <c r="AS24" i="20" s="1"/>
  <c r="AT24" i="20" s="1"/>
  <c r="AJ24" i="20"/>
  <c r="AD24" i="20"/>
  <c r="AC24" i="20"/>
  <c r="AB24" i="20"/>
  <c r="AA24" i="20"/>
  <c r="AF24" i="20" s="1"/>
  <c r="AG24" i="20" s="1"/>
  <c r="P24" i="20"/>
  <c r="L24" i="20"/>
  <c r="AO23" i="20"/>
  <c r="AR23" i="20" s="1"/>
  <c r="AS23" i="20" s="1"/>
  <c r="AT23" i="20" s="1"/>
  <c r="AJ23" i="20"/>
  <c r="AB23" i="20"/>
  <c r="AF23" i="20" s="1"/>
  <c r="AG23" i="20" s="1"/>
  <c r="Z23" i="20"/>
  <c r="Y23" i="20"/>
  <c r="AA23" i="20" s="1"/>
  <c r="L23" i="20"/>
  <c r="AO22" i="20"/>
  <c r="AR22" i="20" s="1"/>
  <c r="AJ22" i="20"/>
  <c r="AB22" i="20"/>
  <c r="AA22" i="20"/>
  <c r="AF22" i="20" s="1"/>
  <c r="AG22" i="20" s="1"/>
  <c r="L22" i="20"/>
  <c r="AR21" i="20"/>
  <c r="AS21" i="20" s="1"/>
  <c r="AO21" i="20"/>
  <c r="AJ21" i="20"/>
  <c r="AB21" i="20"/>
  <c r="AF21" i="20" s="1"/>
  <c r="AG21" i="20" s="1"/>
  <c r="AA21" i="20"/>
  <c r="L21" i="20"/>
  <c r="AR20" i="20"/>
  <c r="AS20" i="20" s="1"/>
  <c r="AO20" i="20"/>
  <c r="AJ20" i="20"/>
  <c r="AD20" i="20"/>
  <c r="AC20" i="20"/>
  <c r="AB20" i="20"/>
  <c r="AA20" i="20"/>
  <c r="AF20" i="20" s="1"/>
  <c r="AG20" i="20" s="1"/>
  <c r="Z20" i="20"/>
  <c r="Y20" i="20"/>
  <c r="L20" i="20"/>
  <c r="AS19" i="20"/>
  <c r="AT19" i="20" s="1"/>
  <c r="AO19" i="20"/>
  <c r="AR19" i="20" s="1"/>
  <c r="AJ19" i="20"/>
  <c r="AG19" i="20"/>
  <c r="AB19" i="20"/>
  <c r="AA19" i="20"/>
  <c r="AF19" i="20" s="1"/>
  <c r="L19" i="20"/>
  <c r="AO18" i="20"/>
  <c r="AR18" i="20" s="1"/>
  <c r="AJ18" i="20"/>
  <c r="AB18" i="20"/>
  <c r="AA18" i="20"/>
  <c r="AF18" i="20" s="1"/>
  <c r="AG18" i="20" s="1"/>
  <c r="L18" i="20"/>
  <c r="AR17" i="20"/>
  <c r="AS17" i="20" s="1"/>
  <c r="AO17" i="20"/>
  <c r="AJ17" i="20"/>
  <c r="AB17" i="20"/>
  <c r="AF17" i="20" s="1"/>
  <c r="AG17" i="20" s="1"/>
  <c r="AA17" i="20"/>
  <c r="L17" i="20"/>
  <c r="AR16" i="20"/>
  <c r="AS16" i="20" s="1"/>
  <c r="AO16" i="20"/>
  <c r="AJ16" i="20"/>
  <c r="AF16" i="20"/>
  <c r="AG16" i="20" s="1"/>
  <c r="AB16" i="20"/>
  <c r="AA16" i="20"/>
  <c r="L16" i="20"/>
  <c r="AS15" i="20"/>
  <c r="AT15" i="20" s="1"/>
  <c r="AO15" i="20"/>
  <c r="AR15" i="20" s="1"/>
  <c r="AJ15" i="20"/>
  <c r="AD15" i="20"/>
  <c r="AC15" i="20"/>
  <c r="AB15" i="20"/>
  <c r="AA15" i="20"/>
  <c r="AF15" i="20" s="1"/>
  <c r="AG15" i="20" s="1"/>
  <c r="L15" i="20"/>
  <c r="AR14" i="20"/>
  <c r="AS14" i="20" s="1"/>
  <c r="AT14" i="20" s="1"/>
  <c r="AO14" i="20"/>
  <c r="AJ14" i="20"/>
  <c r="AF14" i="20"/>
  <c r="AG14" i="20" s="1"/>
  <c r="AB14" i="20"/>
  <c r="AA14" i="20"/>
  <c r="L14" i="20"/>
  <c r="AO13" i="20"/>
  <c r="AR13" i="20" s="1"/>
  <c r="AS13" i="20" s="1"/>
  <c r="AT13" i="20" s="1"/>
  <c r="AJ13" i="20"/>
  <c r="AB13" i="20"/>
  <c r="AA13" i="20"/>
  <c r="AF13" i="20" s="1"/>
  <c r="AG13" i="20" s="1"/>
  <c r="L13" i="20"/>
  <c r="AO12" i="20"/>
  <c r="AR12" i="20" s="1"/>
  <c r="AJ12" i="20"/>
  <c r="AB12" i="20"/>
  <c r="AA12" i="20"/>
  <c r="AF12" i="20" s="1"/>
  <c r="AG12" i="20" s="1"/>
  <c r="L12" i="20"/>
  <c r="AO11" i="20"/>
  <c r="AR11" i="20" s="1"/>
  <c r="AS11" i="20" s="1"/>
  <c r="AJ11" i="20"/>
  <c r="AB11" i="20"/>
  <c r="AF11" i="20" s="1"/>
  <c r="AG11" i="20" s="1"/>
  <c r="AA11" i="20"/>
  <c r="L11" i="20"/>
  <c r="AR10" i="20"/>
  <c r="AS10" i="20" s="1"/>
  <c r="AT10" i="20" s="1"/>
  <c r="AO10" i="20"/>
  <c r="AJ10" i="20"/>
  <c r="AF10" i="20"/>
  <c r="AG10" i="20" s="1"/>
  <c r="AB10" i="20"/>
  <c r="AA10" i="20"/>
  <c r="L10" i="20"/>
  <c r="AO9" i="20"/>
  <c r="AR9" i="20" s="1"/>
  <c r="AS9" i="20" s="1"/>
  <c r="AJ9" i="20"/>
  <c r="AB9" i="20"/>
  <c r="AA9" i="20"/>
  <c r="AF9" i="20" s="1"/>
  <c r="AG9" i="20" s="1"/>
  <c r="L9" i="20"/>
  <c r="L105" i="20" s="1"/>
  <c r="AO8" i="20"/>
  <c r="AJ8" i="20"/>
  <c r="AB8" i="20"/>
  <c r="AA8" i="20"/>
  <c r="L8" i="20"/>
  <c r="AT9" i="20" l="1"/>
  <c r="AT11" i="20"/>
  <c r="AT16" i="20"/>
  <c r="AT20" i="20"/>
  <c r="AF8" i="20"/>
  <c r="AT17" i="20"/>
  <c r="AT21" i="20"/>
  <c r="AT25" i="20"/>
  <c r="AA28" i="20"/>
  <c r="AF28" i="20" s="1"/>
  <c r="AG28" i="20" s="1"/>
  <c r="N105" i="20"/>
  <c r="AB105" i="20"/>
  <c r="AS18" i="20"/>
  <c r="AT18" i="20" s="1"/>
  <c r="AS22" i="20"/>
  <c r="AT22" i="20" s="1"/>
  <c r="AS35" i="20"/>
  <c r="AG60" i="20"/>
  <c r="AG64" i="20"/>
  <c r="AG68" i="20"/>
  <c r="AS73" i="20"/>
  <c r="AS81" i="20"/>
  <c r="AF26" i="20"/>
  <c r="AG26" i="20" s="1"/>
  <c r="AJ30" i="20"/>
  <c r="AS30" i="20" s="1"/>
  <c r="AS36" i="20"/>
  <c r="AS41" i="20"/>
  <c r="AS57" i="20"/>
  <c r="AS61" i="20"/>
  <c r="AS65" i="20"/>
  <c r="AS69" i="20"/>
  <c r="U105" i="20"/>
  <c r="Y105" i="20"/>
  <c r="AO105" i="20"/>
  <c r="AR8" i="20"/>
  <c r="AS12" i="20"/>
  <c r="AT12" i="20" s="1"/>
  <c r="AC105" i="20"/>
  <c r="P105" i="20"/>
  <c r="AM105" i="20"/>
  <c r="AO28" i="20"/>
  <c r="AR28" i="20" s="1"/>
  <c r="AS28" i="20" s="1"/>
  <c r="AF30" i="20"/>
  <c r="AG30" i="20" s="1"/>
  <c r="AG36" i="20"/>
  <c r="AS59" i="20"/>
  <c r="AS63" i="20"/>
  <c r="AS67" i="20"/>
  <c r="AS77" i="20"/>
  <c r="AF86" i="20"/>
  <c r="AG86" i="20" s="1"/>
  <c r="AF97" i="20"/>
  <c r="AG97" i="20" s="1"/>
  <c r="Q105" i="20"/>
  <c r="J105" i="20"/>
  <c r="AF47" i="20"/>
  <c r="AG47" i="20" s="1"/>
  <c r="AF51" i="20"/>
  <c r="AG51" i="20" s="1"/>
  <c r="AF54" i="20"/>
  <c r="AG54" i="20" s="1"/>
  <c r="AF70" i="20"/>
  <c r="AG70" i="20" s="1"/>
  <c r="AF87" i="20"/>
  <c r="AG87" i="20" s="1"/>
  <c r="AF91" i="20"/>
  <c r="AG91" i="20" s="1"/>
  <c r="AF94" i="20"/>
  <c r="AG94" i="20" s="1"/>
  <c r="AF98" i="20"/>
  <c r="AG98" i="20" s="1"/>
  <c r="AF102" i="20"/>
  <c r="AG102" i="20" s="1"/>
  <c r="AG8" i="20" l="1"/>
  <c r="AG105" i="20" s="1"/>
  <c r="AF105" i="20"/>
  <c r="AS8" i="20"/>
  <c r="AS105" i="20" s="1"/>
  <c r="AS106" i="20" s="1"/>
  <c r="AR105" i="20"/>
  <c r="AJ105" i="20"/>
  <c r="AA105" i="20"/>
  <c r="AA106" i="20" s="1"/>
  <c r="CB25" i="20" l="1"/>
  <c r="CD25" i="20" s="1"/>
  <c r="BS25" i="20"/>
  <c r="BL25" i="20"/>
  <c r="CB24" i="20"/>
  <c r="CD24" i="20" s="1"/>
  <c r="BS24" i="20"/>
  <c r="BL24" i="20"/>
  <c r="CH24" i="20"/>
  <c r="CB23" i="20"/>
  <c r="CD23" i="20" s="1"/>
  <c r="BS23" i="20"/>
  <c r="BE23" i="20"/>
  <c r="BL23" i="20" s="1"/>
  <c r="CH23" i="20"/>
  <c r="CB22" i="20"/>
  <c r="CD22" i="20" s="1"/>
  <c r="BS22" i="20"/>
  <c r="BL22" i="20"/>
  <c r="CH22" i="20"/>
  <c r="CB21" i="20"/>
  <c r="CD21" i="20" s="1"/>
  <c r="BS21" i="20"/>
  <c r="BL21" i="20"/>
  <c r="CH21" i="20"/>
  <c r="CB20" i="20"/>
  <c r="CD20" i="20" s="1"/>
  <c r="BS20" i="20"/>
  <c r="BL20" i="20"/>
  <c r="CB19" i="20"/>
  <c r="CD19" i="20" s="1"/>
  <c r="BS19" i="20"/>
  <c r="BL19" i="20"/>
  <c r="CH19" i="20"/>
  <c r="CB18" i="20"/>
  <c r="CD18" i="20" s="1"/>
  <c r="BS18" i="20"/>
  <c r="BL18" i="20"/>
  <c r="CH18" i="20"/>
  <c r="CB17" i="20"/>
  <c r="CD17" i="20" s="1"/>
  <c r="BS17" i="20"/>
  <c r="BL17" i="20"/>
  <c r="CH17" i="20"/>
  <c r="CB16" i="20"/>
  <c r="CD16" i="20" s="1"/>
  <c r="BS16" i="20"/>
  <c r="BL16" i="20"/>
  <c r="CB15" i="20"/>
  <c r="CD15" i="20" s="1"/>
  <c r="BS15" i="20"/>
  <c r="BL15" i="20"/>
  <c r="CH15" i="20"/>
  <c r="CB14" i="20"/>
  <c r="CD14" i="20" s="1"/>
  <c r="BS14" i="20"/>
  <c r="BL14" i="20"/>
  <c r="CH14" i="20"/>
  <c r="CB13" i="20"/>
  <c r="CD13" i="20" s="1"/>
  <c r="BS13" i="20"/>
  <c r="BL13" i="20"/>
  <c r="CH13" i="20"/>
  <c r="CB12" i="20"/>
  <c r="CD12" i="20" s="1"/>
  <c r="BS12" i="20"/>
  <c r="BK12" i="20"/>
  <c r="CH12" i="20"/>
  <c r="CB11" i="20"/>
  <c r="CD11" i="20" s="1"/>
  <c r="BS11" i="20"/>
  <c r="BL11" i="20"/>
  <c r="CB10" i="20"/>
  <c r="CD10" i="20" s="1"/>
  <c r="BS10" i="20"/>
  <c r="BL10" i="20"/>
  <c r="CH10" i="20"/>
  <c r="CB9" i="20"/>
  <c r="CD9" i="20" s="1"/>
  <c r="BS9" i="20"/>
  <c r="BL9" i="20"/>
  <c r="CH9" i="20"/>
  <c r="CE8" i="20"/>
  <c r="CF8" i="20" s="1"/>
  <c r="CG8" i="20" s="1"/>
  <c r="AW8" i="20"/>
  <c r="AX8" i="20" s="1"/>
  <c r="AY8" i="20" s="1"/>
  <c r="AZ8" i="20" s="1"/>
  <c r="BA8" i="20" s="1"/>
  <c r="BB8" i="20" s="1"/>
  <c r="BC8" i="20" s="1"/>
  <c r="BD8" i="20" s="1"/>
  <c r="BE8" i="20" s="1"/>
  <c r="BF8" i="20" s="1"/>
  <c r="BG8" i="20" s="1"/>
  <c r="BH8" i="20" s="1"/>
  <c r="BI8" i="20" s="1"/>
  <c r="BJ8" i="20" s="1"/>
  <c r="BK8" i="20" s="1"/>
  <c r="BL8" i="20" s="1"/>
  <c r="BM8" i="20" s="1"/>
  <c r="BN8" i="20" s="1"/>
  <c r="BO8" i="20" s="1"/>
  <c r="BP8" i="20" s="1"/>
  <c r="BQ8" i="20" s="1"/>
  <c r="BR8" i="20" s="1"/>
  <c r="BS8" i="20" s="1"/>
  <c r="BT8" i="20" s="1"/>
  <c r="BU8" i="20" s="1"/>
  <c r="BV8" i="20" s="1"/>
  <c r="BW8" i="20" s="1"/>
  <c r="BX8" i="20" s="1"/>
  <c r="BY8" i="20" s="1"/>
  <c r="BZ8" i="20" s="1"/>
  <c r="CA8" i="20" s="1"/>
  <c r="BT23" i="20" l="1"/>
  <c r="CG23" i="20" s="1"/>
  <c r="CI23" i="20" s="1"/>
  <c r="BT19" i="20"/>
  <c r="CG19" i="20" s="1"/>
  <c r="CI19" i="20" s="1"/>
  <c r="BT20" i="20"/>
  <c r="CG20" i="20" s="1"/>
  <c r="BT17" i="20"/>
  <c r="CG17" i="20" s="1"/>
  <c r="CI17" i="20" s="1"/>
  <c r="BT14" i="20"/>
  <c r="CG14" i="20" s="1"/>
  <c r="CI14" i="20" s="1"/>
  <c r="BT22" i="20"/>
  <c r="CG22" i="20" s="1"/>
  <c r="BT10" i="20"/>
  <c r="CG10" i="20" s="1"/>
  <c r="CI10" i="20" s="1"/>
  <c r="BT11" i="20"/>
  <c r="CG11" i="20" s="1"/>
  <c r="BT25" i="20"/>
  <c r="CG25" i="20" s="1"/>
  <c r="BT18" i="20"/>
  <c r="CG18" i="20" s="1"/>
  <c r="CI18" i="20" s="1"/>
  <c r="CH20" i="20"/>
  <c r="BT21" i="20"/>
  <c r="CG21" i="20" s="1"/>
  <c r="CI21" i="20" s="1"/>
  <c r="BT24" i="20"/>
  <c r="CG24" i="20" s="1"/>
  <c r="CI24" i="20" s="1"/>
  <c r="CH16" i="20"/>
  <c r="CI22" i="20"/>
  <c r="CH11" i="20"/>
  <c r="BL12" i="20"/>
  <c r="BT12" i="20" s="1"/>
  <c r="CG12" i="20" s="1"/>
  <c r="CI12" i="20" s="1"/>
  <c r="BT13" i="20"/>
  <c r="CG13" i="20" s="1"/>
  <c r="CI13" i="20" s="1"/>
  <c r="BT15" i="20"/>
  <c r="CG15" i="20" s="1"/>
  <c r="CI15" i="20" s="1"/>
  <c r="BT16" i="20"/>
  <c r="CG16" i="20" s="1"/>
  <c r="CH25" i="20"/>
  <c r="CI25" i="20" s="1"/>
  <c r="BT9" i="20"/>
  <c r="CI20" i="20" l="1"/>
  <c r="CI11" i="20"/>
  <c r="CI16" i="20"/>
  <c r="CG9" i="20"/>
  <c r="CI9" i="20" l="1"/>
</calcChain>
</file>

<file path=xl/sharedStrings.xml><?xml version="1.0" encoding="utf-8"?>
<sst xmlns="http://schemas.openxmlformats.org/spreadsheetml/2006/main" count="546" uniqueCount="204">
  <si>
    <t>№</t>
  </si>
  <si>
    <t>төгрөгөөр</t>
  </si>
  <si>
    <t xml:space="preserve">Сум, дүүргийн нэр </t>
  </si>
  <si>
    <t xml:space="preserve">Байгууллагын нэр </t>
  </si>
  <si>
    <t xml:space="preserve">Нийт хөрөнгийн дүн                     </t>
  </si>
  <si>
    <t xml:space="preserve">Эргэлтийн бус хөрөнгө </t>
  </si>
  <si>
    <t xml:space="preserve">Эргэлтийн бус хөрөнгийн дүн   </t>
  </si>
  <si>
    <t xml:space="preserve">Өр төлбөрийн нийт дүн                   </t>
  </si>
  <si>
    <t xml:space="preserve">Эзэмшигчдийн өмчийн дүн                 </t>
  </si>
  <si>
    <t xml:space="preserve"> Мөнгө ба түүнтэй адилтгах хөрөнгө </t>
  </si>
  <si>
    <t xml:space="preserve"> Богино хугацаат хөрөнгө оруулалт</t>
  </si>
  <si>
    <t xml:space="preserve"> Авлага</t>
  </si>
  <si>
    <t xml:space="preserve"> Бараа материал, нөөц</t>
  </si>
  <si>
    <t xml:space="preserve"> Бусад эргэлтийн хөрөнгө </t>
  </si>
  <si>
    <t xml:space="preserve">Биет хөрөнгийн хуримтлагдсан элэгдлийн дүн           </t>
  </si>
  <si>
    <t xml:space="preserve">Биет бус хөрөнгийн хуримтлагдсан элэгдэл </t>
  </si>
  <si>
    <t>Хөрөнгө оруулалт ба бусад хөрөнгө</t>
  </si>
  <si>
    <t xml:space="preserve">Богино хугацаат өр төлбөр </t>
  </si>
  <si>
    <t>Урт хугацаат өр төлбөр</t>
  </si>
  <si>
    <t>Дүрмийн сан / өмч /</t>
  </si>
  <si>
    <t xml:space="preserve"> Хуримтлагдсан үр дүн</t>
  </si>
  <si>
    <t xml:space="preserve"> Хөрөнгийн дахин үнэлгээний зөрүү</t>
  </si>
  <si>
    <t>Эзэмшигчийн өмчийн бусад хэсэг</t>
  </si>
  <si>
    <t>Барилга, байгууламж</t>
  </si>
  <si>
    <t xml:space="preserve">Барилга, байгууламжийн хуримтлагдсан элэгдэл </t>
  </si>
  <si>
    <t>Машин тоног төхөөрөмж</t>
  </si>
  <si>
    <t xml:space="preserve">Машин тоног төхөөрөмжийн хуримтлагдсан элэгдэл </t>
  </si>
  <si>
    <t>Тээврийн хэрэгсэл</t>
  </si>
  <si>
    <t xml:space="preserve">Тээврийн хэрэгслийн хуримтлагдсан элэгдэл </t>
  </si>
  <si>
    <t>Тавилга, эд хогшил, багаж хэрэгсэл</t>
  </si>
  <si>
    <t xml:space="preserve">Тавилга эд хогшлын хуримтлагдсан элэгдэл </t>
  </si>
  <si>
    <t xml:space="preserve"> Түүх соёлын дурсгалт зүйлс</t>
  </si>
  <si>
    <t xml:space="preserve"> Номын фонд</t>
  </si>
  <si>
    <t>Дуусаагүй барилга</t>
  </si>
  <si>
    <t>Бусад үндсэн хөрөнгө</t>
  </si>
  <si>
    <t xml:space="preserve">Бусад үндсэн хөрөнгийн хуримтлагдсан элэгдэл </t>
  </si>
  <si>
    <t xml:space="preserve">Хувийн </t>
  </si>
  <si>
    <t>Завхан</t>
  </si>
  <si>
    <t>Цэцэрлэг</t>
  </si>
  <si>
    <t>ИТХ</t>
  </si>
  <si>
    <t>Сургууль</t>
  </si>
  <si>
    <t xml:space="preserve">ЗАВХАН АЙМГИЙН (НИЙСЛЭЛИЙН) өМЧИЙН  ҮНДСЭН ХӨРӨНГИЙН ХӨДЛӨЛ, </t>
  </si>
  <si>
    <t xml:space="preserve">ЗАВХАН АЙМГИЙН (НИЙСЛЭЛИЙН) ӨМЧИЙН  ҮНДСЭН ХӨРӨНГИЙН ХӨДЛӨЛ, </t>
  </si>
  <si>
    <t>2015 ОНЫ ЖИЛИЙН ЭЦСИЙН САНХҮҮГИЙН ТАЙЛАНГИЙН НЭГТГЭЛ</t>
  </si>
  <si>
    <t xml:space="preserve">    ӨӨРЧЛӨЛТИЙН  2015 ОНЫ ЖИЛИЙН ЭЦСИЙН ТАЙЛАНГИЙН НЭГТГЭЛ</t>
  </si>
  <si>
    <t xml:space="preserve">     ӨӨРЧЛӨЛТИЙН  2014 ОНЫ ЖИЛИЙН ЭЦСИЙН ТАЙЛАНГИЙН НЭГТГЭЛ</t>
  </si>
  <si>
    <t xml:space="preserve">Аймаг, нийслэлийн нэр </t>
  </si>
  <si>
    <t>Бүгд дүн</t>
  </si>
  <si>
    <t xml:space="preserve">Жижиг эд хогшил худалдан авах урсгал зардал </t>
  </si>
  <si>
    <t xml:space="preserve">Улсын төсвийн </t>
  </si>
  <si>
    <t xml:space="preserve">Орон нутгийн төсвийн хөрөнгө оруулалт, их засвар, тоног төхөөрөмж       </t>
  </si>
  <si>
    <t>Гадаадын зээл         /Тө-7-гийн дүн/</t>
  </si>
  <si>
    <t>Гадаадын буцалтгүй тусламж, хандив, бэлэглэл    /Тө-8.1-ийн дүн/</t>
  </si>
  <si>
    <t>Дотоодын буцалтгүй тусламж, хандив, бэлэглэл     /Тө-8.2-ийн дүн/</t>
  </si>
  <si>
    <t>Бусад (УИХ, ЗГ эрх бүхий байгууллагын шийдвэрээр)</t>
  </si>
  <si>
    <t>Төсвийн хэмнэл-тээс</t>
  </si>
  <si>
    <t>өөрийн хөрөн-гөөр /орлого/</t>
  </si>
  <si>
    <t>Данс хооронд шилжсэн</t>
  </si>
  <si>
    <t>Залруулга хийсэн</t>
  </si>
  <si>
    <t>Балансаас шилжүүлж авсан</t>
  </si>
  <si>
    <t>Салбар доторх буюу системийн байгууллага хоорондын хөдөлгөөн</t>
  </si>
  <si>
    <t>Худалдсан</t>
  </si>
  <si>
    <t>Балансаар шилжүүлсэн</t>
  </si>
  <si>
    <t>Акталсан</t>
  </si>
  <si>
    <t>Данс хооронд  шилжсэн</t>
  </si>
  <si>
    <t>УИХ, ЗГ болон бусад шийдвэрээр хасагдсан</t>
  </si>
  <si>
    <t xml:space="preserve">Регистрийн дугаар </t>
  </si>
  <si>
    <t>Харьяалах дээд байгууллага</t>
  </si>
  <si>
    <t xml:space="preserve">Эргэлтийн хөрөнгийн дүн                           </t>
  </si>
  <si>
    <t>Эргэлтийн бус хөрөнгө</t>
  </si>
  <si>
    <t xml:space="preserve"> Эргэлтийн бус  хөрөнгө </t>
  </si>
  <si>
    <t>Биет хөрөнгийн нийт анхны өртөг</t>
  </si>
  <si>
    <t xml:space="preserve">Биет бус хөрөнгийн балансын үнэ </t>
  </si>
  <si>
    <t>Өмнөх үеийн үр дүн</t>
  </si>
  <si>
    <t>Тайлант үеийн үр дүн</t>
  </si>
  <si>
    <t>Өр төлбөр ба эзэмшигчдийн өмчийн дүн  /Нийт хөрөнгийн дүн/</t>
  </si>
  <si>
    <t xml:space="preserve">Хөрөнгө оруулалт </t>
  </si>
  <si>
    <t>Их засвар</t>
  </si>
  <si>
    <t>Тоног төхөөрөмж</t>
  </si>
  <si>
    <t xml:space="preserve">Газар </t>
  </si>
  <si>
    <t>Төрийн /орон нутгийн</t>
  </si>
  <si>
    <t xml:space="preserve">  /Тө-6-гийн дүн/</t>
  </si>
  <si>
    <t>Алдархаан</t>
  </si>
  <si>
    <t>ЗДТГ</t>
  </si>
  <si>
    <t>АЗД</t>
  </si>
  <si>
    <t>Баг</t>
  </si>
  <si>
    <t>Соёлын төв</t>
  </si>
  <si>
    <t>Эмнэлэг</t>
  </si>
  <si>
    <t>Асгат</t>
  </si>
  <si>
    <t>Баянтэс</t>
  </si>
  <si>
    <t>ҮРГЭЛЖЛЭЛ</t>
  </si>
  <si>
    <t xml:space="preserve">ДАРХАН-УУЛ   АЙМГИЙН ОРОН НУТГИЙН ӨМЧИЙН БАЙГУУЛЛАГУУДЫН  </t>
  </si>
  <si>
    <t>Дархан</t>
  </si>
  <si>
    <t>Аймгийн ЗДТГазар</t>
  </si>
  <si>
    <t>АЗДарга</t>
  </si>
  <si>
    <t>Аймгийн ИТХурал</t>
  </si>
  <si>
    <t>Санхүү хяналт аудитын алба</t>
  </si>
  <si>
    <t>Аймгийн ОНӨАлба</t>
  </si>
  <si>
    <t>Аймгийн захирагчийн алба</t>
  </si>
  <si>
    <t>Худалдан авах ажиллагааны алба</t>
  </si>
  <si>
    <t>Дархан сум ИТХ</t>
  </si>
  <si>
    <t>Дархан сум ЗДТГ</t>
  </si>
  <si>
    <t>Хонгор сумын ИТХурал</t>
  </si>
  <si>
    <t>Хонгор сумын ЗДТГазар</t>
  </si>
  <si>
    <t>Хонгор сумын Ойн анги</t>
  </si>
  <si>
    <t>Шарын гол сумын ИТХурал</t>
  </si>
  <si>
    <t>Шарын гол сумын ЗДТГазар</t>
  </si>
  <si>
    <t>Орхон сумын  ИТХурал</t>
  </si>
  <si>
    <t>Орхон сумын ЗДТГ</t>
  </si>
  <si>
    <t>НААҮГ</t>
  </si>
  <si>
    <t>Цагдаагийн газар</t>
  </si>
  <si>
    <t>ХЗДХЯам</t>
  </si>
  <si>
    <t>Дархан-Ус суваг ХК</t>
  </si>
  <si>
    <t>БОАЖГазар</t>
  </si>
  <si>
    <t>БОАЖЯам</t>
  </si>
  <si>
    <t>НХҮХэлтэс</t>
  </si>
  <si>
    <t>НХХЯам</t>
  </si>
  <si>
    <t>Хүүхэд гэр бүл хөгжлийн төв</t>
  </si>
  <si>
    <t>Ахмадын хороо</t>
  </si>
  <si>
    <t>Мэдээлэл технологийн алба ОНӨҮГ</t>
  </si>
  <si>
    <t>Орхон</t>
  </si>
  <si>
    <t>Орхон сум Тохижолт үйлчилгээ ОНӨҮГ</t>
  </si>
  <si>
    <t>Хонгор сумын Эмтнаран ОНӨҮГ</t>
  </si>
  <si>
    <t>Барилга захиалчын алба ОНӨҮГ</t>
  </si>
  <si>
    <t>Дархан ҮТП ОНӨҮГ</t>
  </si>
  <si>
    <t>Аймгийн ЭМГазар</t>
  </si>
  <si>
    <t>ЭМЯам</t>
  </si>
  <si>
    <t xml:space="preserve"> Хонгор сум ЭМТөв</t>
  </si>
  <si>
    <t>Шарын гол ЭМТөв</t>
  </si>
  <si>
    <t>МЭДС ТОБ ӨЭМТөв</t>
  </si>
  <si>
    <t>Аймгийн Нэгдсэн эмнэлэг</t>
  </si>
  <si>
    <t>Түвшин-Холбоо ӨЭмнэлэг</t>
  </si>
  <si>
    <t>Гос Хот ӨЭмнэлэг</t>
  </si>
  <si>
    <t>Гэрэлтэй өрхийн эмнэлэг</t>
  </si>
  <si>
    <t>Амин холбоо ЗБН</t>
  </si>
  <si>
    <t>Шарын гол</t>
  </si>
  <si>
    <t>Тулга сувилал</t>
  </si>
  <si>
    <t>Орхон сум ЭМТөв</t>
  </si>
  <si>
    <t>Биен тамир спортын газар</t>
  </si>
  <si>
    <t xml:space="preserve"> Аймгийн Төв номын сан</t>
  </si>
  <si>
    <t>Аймгийн Музей</t>
  </si>
  <si>
    <t xml:space="preserve"> Аймгийн Залуучууд театр</t>
  </si>
  <si>
    <t>Хонгор</t>
  </si>
  <si>
    <t xml:space="preserve"> Хонгор сум Соёлын төв</t>
  </si>
  <si>
    <t xml:space="preserve"> Орхон сум Соёлын төв</t>
  </si>
  <si>
    <t>Шарын гол сум Соёлын төв</t>
  </si>
  <si>
    <t>Хүүхдийн Номын Ордон</t>
  </si>
  <si>
    <t>Аймгийн Боловсрлын  газар</t>
  </si>
  <si>
    <t>1-р цэцэрлэг</t>
  </si>
  <si>
    <t>2-р цэцэрлэг</t>
  </si>
  <si>
    <t>3-р цэцэрлэг</t>
  </si>
  <si>
    <t>4-р цэцэрлэг</t>
  </si>
  <si>
    <t>5-р цэцэрлэг</t>
  </si>
  <si>
    <t>6-р цэцэрлэг</t>
  </si>
  <si>
    <t>7-р цэцэрлэг</t>
  </si>
  <si>
    <t>8-р цэцэрлэг</t>
  </si>
  <si>
    <t>9-р цэцэрлэг</t>
  </si>
  <si>
    <t>10-р цэцэрлэг</t>
  </si>
  <si>
    <t>11-р цэцэрлэг</t>
  </si>
  <si>
    <t>12-р цэцэрлэг</t>
  </si>
  <si>
    <t>13-р цэцэрлэг</t>
  </si>
  <si>
    <t>14-р цэцэрлэг</t>
  </si>
  <si>
    <t>15-р цэцэрлэг</t>
  </si>
  <si>
    <t>16-р цэцэрлэг</t>
  </si>
  <si>
    <t>17-р цэцэрлэг</t>
  </si>
  <si>
    <t>18-р цэцэрлэг</t>
  </si>
  <si>
    <t>19-р цэцэрлэг</t>
  </si>
  <si>
    <t>21-р цэцэрлэг</t>
  </si>
  <si>
    <t>22-р цэцэрлэг</t>
  </si>
  <si>
    <t>23-р цэцэрлэг</t>
  </si>
  <si>
    <t>24-р цэцэрлэг</t>
  </si>
  <si>
    <t>1-р сургууль</t>
  </si>
  <si>
    <t>11 жилийн 2 сургууль</t>
  </si>
  <si>
    <t>4-р сургууль</t>
  </si>
  <si>
    <t>9 жилийн 6-р сургууль</t>
  </si>
  <si>
    <t>Орхон суи</t>
  </si>
  <si>
    <t>8-р сургууль</t>
  </si>
  <si>
    <t>9-р сургууль</t>
  </si>
  <si>
    <t>11-р сургууль</t>
  </si>
  <si>
    <t>хонгор</t>
  </si>
  <si>
    <t>14-р сургууль</t>
  </si>
  <si>
    <t>15-р сургууль</t>
  </si>
  <si>
    <t>Жигүүр сургууль</t>
  </si>
  <si>
    <t>Оюуны ирээдүй сургууль</t>
  </si>
  <si>
    <t>18-р сургууль</t>
  </si>
  <si>
    <t>Од цогцолбор сургууль</t>
  </si>
  <si>
    <t>Энэрэл сургууль</t>
  </si>
  <si>
    <t>30-р сургууль</t>
  </si>
  <si>
    <t>Албан бус насан туршын боловсрол төв</t>
  </si>
  <si>
    <t>Дархан Бизнес инкубатор төв</t>
  </si>
  <si>
    <t>Дархан сум</t>
  </si>
  <si>
    <t>Сум хөгжлийн сан</t>
  </si>
  <si>
    <t>Хонгор сум</t>
  </si>
  <si>
    <t>Орхон сум</t>
  </si>
  <si>
    <t>Аймгийн орон нутгийн хөгжлийн сан</t>
  </si>
  <si>
    <t>Дархан сум орон нутгийн хөгжлийн сан</t>
  </si>
  <si>
    <t>Орхон орон нутгийн хөнжлийн сан</t>
  </si>
  <si>
    <t>Хонгор орон нутгийн хөгжлийн сан</t>
  </si>
  <si>
    <t>Шарын гол орон нутгийн хөгжлийн сан</t>
  </si>
  <si>
    <t>Газрын алба</t>
  </si>
  <si>
    <t>БХБЯам</t>
  </si>
  <si>
    <t>ДҮН</t>
  </si>
  <si>
    <t>Дархан-Уул</t>
  </si>
  <si>
    <t xml:space="preserve">Аймгийн ИТХ-ын Тэргүүлэгчдийн 2016 оны .... Дугаар сарын ... Өдрийн ... Тогтоолын хавсралт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</si>
</sst>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i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name val="Arial"/>
      <family val="2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43" fontId="4" fillId="0" borderId="0" applyFont="0" applyFill="0" applyBorder="0" applyAlignment="0" applyProtection="0"/>
    <xf numFmtId="0" fontId="7" fillId="0" borderId="0"/>
    <xf numFmtId="0" fontId="1" fillId="0" borderId="0"/>
    <xf numFmtId="0" fontId="4" fillId="0" borderId="0"/>
    <xf numFmtId="0" fontId="1" fillId="0" borderId="0"/>
  </cellStyleXfs>
  <cellXfs count="152">
    <xf numFmtId="0" fontId="0" fillId="0" borderId="0" xfId="0"/>
    <xf numFmtId="0" fontId="5" fillId="0" borderId="0" xfId="0" applyFont="1" applyAlignment="1">
      <alignment vertical="center"/>
    </xf>
    <xf numFmtId="0" fontId="8" fillId="2" borderId="0" xfId="4" applyNumberFormat="1" applyFont="1" applyFill="1" applyBorder="1" applyAlignment="1" applyProtection="1">
      <alignment vertical="center"/>
    </xf>
    <xf numFmtId="0" fontId="8" fillId="2" borderId="0" xfId="4" applyNumberFormat="1" applyFont="1" applyFill="1" applyBorder="1" applyAlignment="1" applyProtection="1">
      <alignment horizontal="left" vertical="center"/>
    </xf>
    <xf numFmtId="0" fontId="8" fillId="2" borderId="0" xfId="3" applyNumberFormat="1" applyFont="1" applyFill="1" applyBorder="1" applyAlignment="1" applyProtection="1">
      <alignment horizontal="center" vertical="center"/>
    </xf>
    <xf numFmtId="0" fontId="8" fillId="2" borderId="0" xfId="4" applyNumberFormat="1" applyFont="1" applyFill="1" applyBorder="1" applyAlignment="1" applyProtection="1">
      <alignment horizontal="center" vertical="center"/>
    </xf>
    <xf numFmtId="0" fontId="8" fillId="2" borderId="0" xfId="3" applyNumberFormat="1" applyFont="1" applyFill="1" applyBorder="1" applyAlignment="1" applyProtection="1">
      <alignment vertical="center"/>
    </xf>
    <xf numFmtId="0" fontId="9" fillId="2" borderId="0" xfId="4" applyNumberFormat="1" applyFont="1" applyFill="1" applyAlignment="1" applyProtection="1">
      <alignment vertical="center"/>
    </xf>
    <xf numFmtId="0" fontId="10" fillId="0" borderId="0" xfId="5" applyFont="1" applyAlignment="1">
      <alignment horizontal="center"/>
    </xf>
    <xf numFmtId="0" fontId="10" fillId="0" borderId="0" xfId="5" applyFont="1"/>
    <xf numFmtId="0" fontId="10" fillId="2" borderId="0" xfId="5" applyFont="1" applyFill="1"/>
    <xf numFmtId="43" fontId="10" fillId="0" borderId="0" xfId="3" applyFont="1"/>
    <xf numFmtId="0" fontId="10" fillId="0" borderId="0" xfId="5" applyFont="1" applyAlignment="1">
      <alignment wrapText="1"/>
    </xf>
    <xf numFmtId="0" fontId="8" fillId="0" borderId="0" xfId="4" applyNumberFormat="1" applyFont="1" applyFill="1" applyBorder="1" applyAlignment="1" applyProtection="1">
      <alignment vertical="center"/>
    </xf>
    <xf numFmtId="43" fontId="8" fillId="2" borderId="0" xfId="4" applyNumberFormat="1" applyFont="1" applyFill="1" applyBorder="1" applyAlignment="1" applyProtection="1">
      <alignment vertical="center"/>
    </xf>
    <xf numFmtId="0" fontId="9" fillId="2" borderId="0" xfId="4" applyNumberFormat="1" applyFont="1" applyFill="1" applyAlignment="1" applyProtection="1">
      <alignment horizontal="left" vertical="center"/>
    </xf>
    <xf numFmtId="0" fontId="8" fillId="0" borderId="0" xfId="5" applyFont="1" applyAlignment="1">
      <alignment horizontal="center"/>
    </xf>
    <xf numFmtId="0" fontId="8" fillId="0" borderId="0" xfId="5" applyFont="1"/>
    <xf numFmtId="0" fontId="8" fillId="0" borderId="0" xfId="5" applyFont="1" applyAlignment="1" applyProtection="1">
      <protection locked="0"/>
    </xf>
    <xf numFmtId="0" fontId="9" fillId="0" borderId="0" xfId="5" applyFont="1" applyAlignment="1" applyProtection="1">
      <alignment vertical="center"/>
      <protection locked="0"/>
    </xf>
    <xf numFmtId="0" fontId="8" fillId="2" borderId="0" xfId="5" applyFont="1" applyFill="1" applyAlignment="1" applyProtection="1">
      <protection locked="0"/>
    </xf>
    <xf numFmtId="43" fontId="8" fillId="0" borderId="0" xfId="3" applyFont="1" applyAlignment="1" applyProtection="1">
      <protection locked="0"/>
    </xf>
    <xf numFmtId="0" fontId="9" fillId="0" borderId="0" xfId="5" applyFont="1" applyAlignment="1" applyProtection="1">
      <alignment horizontal="left"/>
      <protection locked="0"/>
    </xf>
    <xf numFmtId="0" fontId="9" fillId="0" borderId="0" xfId="5" applyFont="1" applyAlignment="1" applyProtection="1">
      <protection locked="0"/>
    </xf>
    <xf numFmtId="0" fontId="8" fillId="2" borderId="0" xfId="5" applyFont="1" applyFill="1" applyAlignment="1" applyProtection="1">
      <alignment wrapText="1"/>
      <protection locked="0"/>
    </xf>
    <xf numFmtId="0" fontId="8" fillId="0" borderId="0" xfId="5" applyFont="1" applyAlignment="1" applyProtection="1">
      <alignment wrapText="1"/>
      <protection locked="0"/>
    </xf>
    <xf numFmtId="43" fontId="8" fillId="0" borderId="0" xfId="3" applyFont="1"/>
    <xf numFmtId="0" fontId="8" fillId="2" borderId="0" xfId="5" applyFont="1" applyFill="1"/>
    <xf numFmtId="43" fontId="8" fillId="2" borderId="0" xfId="3" applyFont="1" applyFill="1" applyBorder="1" applyAlignment="1" applyProtection="1">
      <alignment vertical="center"/>
    </xf>
    <xf numFmtId="43" fontId="8" fillId="2" borderId="0" xfId="3" applyFont="1" applyFill="1" applyAlignment="1" applyProtection="1">
      <alignment vertical="center"/>
    </xf>
    <xf numFmtId="0" fontId="9" fillId="8" borderId="0" xfId="0" applyNumberFormat="1" applyFont="1" applyFill="1" applyAlignment="1">
      <alignment horizontal="center" vertical="center" wrapText="1"/>
    </xf>
    <xf numFmtId="43" fontId="12" fillId="8" borderId="2" xfId="3" applyFont="1" applyFill="1" applyBorder="1" applyAlignment="1">
      <alignment horizontal="center" vertical="center" wrapText="1"/>
    </xf>
    <xf numFmtId="0" fontId="12" fillId="8" borderId="2" xfId="5" applyFont="1" applyFill="1" applyBorder="1" applyAlignment="1">
      <alignment horizontal="center" vertical="center" wrapText="1"/>
    </xf>
    <xf numFmtId="0" fontId="12" fillId="9" borderId="2" xfId="5" applyFont="1" applyFill="1" applyBorder="1" applyAlignment="1">
      <alignment horizontal="center" vertical="center" wrapText="1"/>
    </xf>
    <xf numFmtId="43" fontId="8" fillId="0" borderId="0" xfId="3" applyFont="1" applyAlignment="1">
      <alignment wrapText="1"/>
    </xf>
    <xf numFmtId="0" fontId="9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>
      <alignment horizontal="center" vertical="center" wrapText="1"/>
    </xf>
    <xf numFmtId="0" fontId="11" fillId="4" borderId="6" xfId="5" applyFont="1" applyFill="1" applyBorder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/>
    </xf>
    <xf numFmtId="0" fontId="8" fillId="2" borderId="2" xfId="5" applyNumberFormat="1" applyFont="1" applyFill="1" applyBorder="1" applyAlignment="1">
      <alignment horizontal="center" vertical="center"/>
    </xf>
    <xf numFmtId="0" fontId="9" fillId="2" borderId="2" xfId="5" applyNumberFormat="1" applyFont="1" applyFill="1" applyBorder="1" applyAlignment="1">
      <alignment horizontal="center" vertical="center"/>
    </xf>
    <xf numFmtId="0" fontId="8" fillId="2" borderId="2" xfId="3" applyNumberFormat="1" applyFont="1" applyFill="1" applyBorder="1" applyAlignment="1">
      <alignment horizontal="center" vertical="center"/>
    </xf>
    <xf numFmtId="0" fontId="9" fillId="8" borderId="2" xfId="5" applyNumberFormat="1" applyFont="1" applyFill="1" applyBorder="1" applyAlignment="1">
      <alignment horizontal="center" vertical="center"/>
    </xf>
    <xf numFmtId="0" fontId="9" fillId="7" borderId="2" xfId="5" applyNumberFormat="1" applyFont="1" applyFill="1" applyBorder="1" applyAlignment="1">
      <alignment horizontal="center" vertical="center"/>
    </xf>
    <xf numFmtId="0" fontId="8" fillId="8" borderId="2" xfId="5" applyNumberFormat="1" applyFont="1" applyFill="1" applyBorder="1" applyAlignment="1">
      <alignment horizontal="center" vertical="center"/>
    </xf>
    <xf numFmtId="0" fontId="8" fillId="7" borderId="2" xfId="5" applyNumberFormat="1" applyFont="1" applyFill="1" applyBorder="1" applyAlignment="1">
      <alignment horizontal="center" vertical="center"/>
    </xf>
    <xf numFmtId="43" fontId="8" fillId="2" borderId="0" xfId="3" applyFont="1" applyFill="1" applyAlignment="1">
      <alignment vertical="center"/>
    </xf>
    <xf numFmtId="0" fontId="9" fillId="0" borderId="0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left" vertical="center"/>
    </xf>
    <xf numFmtId="0" fontId="8" fillId="2" borderId="2" xfId="6" applyNumberFormat="1" applyFont="1" applyFill="1" applyBorder="1" applyAlignment="1">
      <alignment horizontal="center" vertical="center"/>
    </xf>
    <xf numFmtId="43" fontId="8" fillId="2" borderId="0" xfId="3" applyFont="1" applyFill="1" applyAlignment="1">
      <alignment horizontal="center" vertical="center"/>
    </xf>
    <xf numFmtId="43" fontId="8" fillId="2" borderId="2" xfId="3" applyFont="1" applyFill="1" applyBorder="1" applyAlignment="1">
      <alignment horizontal="left" vertical="center"/>
    </xf>
    <xf numFmtId="43" fontId="9" fillId="8" borderId="2" xfId="3" applyFont="1" applyFill="1" applyBorder="1" applyAlignment="1">
      <alignment horizontal="left" vertical="center"/>
    </xf>
    <xf numFmtId="43" fontId="9" fillId="7" borderId="2" xfId="3" applyFont="1" applyFill="1" applyBorder="1" applyAlignment="1">
      <alignment horizontal="left" vertical="center"/>
    </xf>
    <xf numFmtId="43" fontId="8" fillId="7" borderId="2" xfId="3" applyFont="1" applyFill="1" applyBorder="1" applyAlignment="1">
      <alignment horizontal="left" vertical="center"/>
    </xf>
    <xf numFmtId="43" fontId="8" fillId="2" borderId="0" xfId="3" applyFont="1" applyFill="1" applyAlignment="1">
      <alignment horizontal="left" vertical="center"/>
    </xf>
    <xf numFmtId="43" fontId="9" fillId="2" borderId="0" xfId="0" applyNumberFormat="1" applyFont="1" applyFill="1" applyAlignment="1">
      <alignment horizontal="center" vertical="center"/>
    </xf>
    <xf numFmtId="43" fontId="8" fillId="2" borderId="2" xfId="3" applyFont="1" applyFill="1" applyBorder="1" applyAlignment="1">
      <alignment horizontal="right" vertical="center"/>
    </xf>
    <xf numFmtId="0" fontId="8" fillId="2" borderId="0" xfId="4" applyFont="1" applyFill="1" applyBorder="1" applyAlignment="1" applyProtection="1"/>
    <xf numFmtId="0" fontId="8" fillId="2" borderId="0" xfId="4" applyFont="1" applyFill="1" applyBorder="1" applyAlignment="1" applyProtection="1">
      <alignment horizontal="left"/>
    </xf>
    <xf numFmtId="0" fontId="8" fillId="2" borderId="0" xfId="3" applyNumberFormat="1" applyFont="1" applyFill="1" applyBorder="1" applyAlignment="1" applyProtection="1">
      <alignment horizontal="center"/>
    </xf>
    <xf numFmtId="0" fontId="8" fillId="2" borderId="0" xfId="4" applyFont="1" applyFill="1" applyBorder="1" applyAlignment="1" applyProtection="1">
      <alignment horizontal="center"/>
    </xf>
    <xf numFmtId="2" fontId="8" fillId="2" borderId="0" xfId="3" applyNumberFormat="1" applyFont="1" applyFill="1" applyBorder="1" applyAlignment="1" applyProtection="1"/>
    <xf numFmtId="2" fontId="8" fillId="2" borderId="0" xfId="4" applyNumberFormat="1" applyFont="1" applyFill="1" applyBorder="1" applyAlignment="1" applyProtection="1"/>
    <xf numFmtId="0" fontId="8" fillId="2" borderId="0" xfId="4" applyNumberFormat="1" applyFont="1" applyFill="1" applyBorder="1" applyAlignment="1" applyProtection="1"/>
    <xf numFmtId="0" fontId="9" fillId="2" borderId="0" xfId="4" applyFont="1" applyFill="1" applyProtection="1"/>
    <xf numFmtId="0" fontId="8" fillId="0" borderId="0" xfId="4" applyNumberFormat="1" applyFont="1" applyFill="1" applyBorder="1" applyAlignment="1" applyProtection="1"/>
    <xf numFmtId="0" fontId="9" fillId="2" borderId="0" xfId="4" applyNumberFormat="1" applyFont="1" applyFill="1" applyBorder="1" applyAlignment="1" applyProtection="1">
      <alignment horizontal="left" vertical="center" indent="5"/>
    </xf>
    <xf numFmtId="0" fontId="8" fillId="8" borderId="2" xfId="0" applyNumberFormat="1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vertical="center"/>
    </xf>
    <xf numFmtId="0" fontId="2" fillId="0" borderId="0" xfId="0" applyFont="1"/>
    <xf numFmtId="0" fontId="13" fillId="0" borderId="0" xfId="0" applyFont="1"/>
    <xf numFmtId="0" fontId="3" fillId="2" borderId="2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left" wrapText="1"/>
    </xf>
    <xf numFmtId="43" fontId="3" fillId="2" borderId="2" xfId="3" applyNumberFormat="1" applyFont="1" applyFill="1" applyBorder="1" applyAlignment="1">
      <alignment horizontal="left" vertical="center"/>
    </xf>
    <xf numFmtId="1" fontId="3" fillId="2" borderId="2" xfId="0" applyNumberFormat="1" applyFont="1" applyFill="1" applyBorder="1" applyAlignment="1">
      <alignment vertical="center" wrapText="1"/>
    </xf>
    <xf numFmtId="43" fontId="3" fillId="2" borderId="2" xfId="3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4" fontId="14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/>
    <xf numFmtId="2" fontId="3" fillId="2" borderId="2" xfId="0" applyNumberFormat="1" applyFont="1" applyFill="1" applyBorder="1" applyAlignment="1">
      <alignment horizontal="right" vertical="center"/>
    </xf>
    <xf numFmtId="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 applyProtection="1"/>
    <xf numFmtId="43" fontId="3" fillId="2" borderId="2" xfId="3" applyNumberFormat="1" applyFont="1" applyFill="1" applyBorder="1" applyAlignment="1" applyProtection="1">
      <alignment horizontal="left"/>
    </xf>
    <xf numFmtId="0" fontId="15" fillId="2" borderId="2" xfId="0" applyFont="1" applyFill="1" applyBorder="1" applyAlignment="1">
      <alignment horizontal="left"/>
    </xf>
    <xf numFmtId="2" fontId="15" fillId="2" borderId="2" xfId="0" applyNumberFormat="1" applyFont="1" applyFill="1" applyBorder="1" applyAlignment="1">
      <alignment horizontal="left" wrapText="1"/>
    </xf>
    <xf numFmtId="43" fontId="15" fillId="2" borderId="2" xfId="3" applyNumberFormat="1" applyFont="1" applyFill="1" applyBorder="1" applyAlignment="1">
      <alignment horizontal="left" vertical="center"/>
    </xf>
    <xf numFmtId="0" fontId="15" fillId="2" borderId="2" xfId="4" applyFont="1" applyFill="1" applyBorder="1" applyAlignment="1" applyProtection="1"/>
    <xf numFmtId="43" fontId="15" fillId="2" borderId="2" xfId="3" applyNumberFormat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>
      <alignment horizontal="center" vertical="center" wrapText="1"/>
    </xf>
    <xf numFmtId="2" fontId="15" fillId="2" borderId="2" xfId="0" applyNumberFormat="1" applyFont="1" applyFill="1" applyBorder="1"/>
    <xf numFmtId="2" fontId="15" fillId="2" borderId="2" xfId="0" applyNumberFormat="1" applyFont="1" applyFill="1" applyBorder="1" applyAlignment="1">
      <alignment horizontal="right" vertical="center"/>
    </xf>
    <xf numFmtId="164" fontId="15" fillId="2" borderId="2" xfId="0" applyNumberFormat="1" applyFont="1" applyFill="1" applyBorder="1" applyAlignment="1">
      <alignment horizontal="center" vertical="center"/>
    </xf>
    <xf numFmtId="4" fontId="15" fillId="2" borderId="2" xfId="0" applyNumberFormat="1" applyFont="1" applyFill="1" applyBorder="1" applyAlignment="1">
      <alignment horizontal="center" vertical="center"/>
    </xf>
    <xf numFmtId="0" fontId="15" fillId="10" borderId="2" xfId="4" applyFont="1" applyFill="1" applyBorder="1" applyAlignment="1" applyProtection="1"/>
    <xf numFmtId="4" fontId="17" fillId="10" borderId="2" xfId="4" applyNumberFormat="1" applyFont="1" applyFill="1" applyBorder="1" applyAlignment="1" applyProtection="1"/>
    <xf numFmtId="0" fontId="15" fillId="0" borderId="0" xfId="4" applyFont="1" applyBorder="1" applyAlignment="1" applyProtection="1"/>
    <xf numFmtId="0" fontId="18" fillId="0" borderId="0" xfId="4" applyNumberFormat="1" applyFont="1" applyFill="1" applyBorder="1" applyAlignment="1" applyProtection="1"/>
    <xf numFmtId="4" fontId="15" fillId="9" borderId="0" xfId="4" applyNumberFormat="1" applyFont="1" applyFill="1" applyBorder="1" applyAlignment="1" applyProtection="1"/>
    <xf numFmtId="0" fontId="16" fillId="0" borderId="0" xfId="4" applyFont="1" applyProtection="1"/>
    <xf numFmtId="4" fontId="18" fillId="0" borderId="0" xfId="4" applyNumberFormat="1" applyFont="1" applyFill="1" applyBorder="1" applyAlignment="1" applyProtection="1"/>
    <xf numFmtId="0" fontId="2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9" fillId="2" borderId="0" xfId="4" applyFont="1" applyFill="1" applyBorder="1" applyProtection="1"/>
    <xf numFmtId="4" fontId="15" fillId="0" borderId="0" xfId="4" applyNumberFormat="1" applyFont="1" applyBorder="1" applyAlignment="1" applyProtection="1"/>
    <xf numFmtId="0" fontId="16" fillId="10" borderId="2" xfId="4" applyFont="1" applyFill="1" applyBorder="1" applyAlignment="1" applyProtection="1">
      <alignment horizontal="center"/>
    </xf>
    <xf numFmtId="0" fontId="9" fillId="8" borderId="2" xfId="0" applyNumberFormat="1" applyFont="1" applyFill="1" applyBorder="1" applyAlignment="1">
      <alignment horizontal="center" vertical="center" wrapText="1"/>
    </xf>
    <xf numFmtId="0" fontId="9" fillId="8" borderId="7" xfId="0" applyNumberFormat="1" applyFont="1" applyFill="1" applyBorder="1" applyAlignment="1">
      <alignment horizontal="center" vertical="center" wrapText="1"/>
    </xf>
    <xf numFmtId="0" fontId="9" fillId="8" borderId="5" xfId="0" applyNumberFormat="1" applyFont="1" applyFill="1" applyBorder="1" applyAlignment="1">
      <alignment horizontal="center" vertical="center" wrapText="1"/>
    </xf>
    <xf numFmtId="0" fontId="9" fillId="8" borderId="1" xfId="0" applyNumberFormat="1" applyFont="1" applyFill="1" applyBorder="1" applyAlignment="1">
      <alignment horizontal="center" vertical="center" textRotation="90" wrapText="1"/>
    </xf>
    <xf numFmtId="0" fontId="9" fillId="8" borderId="3" xfId="0" applyNumberFormat="1" applyFont="1" applyFill="1" applyBorder="1" applyAlignment="1">
      <alignment horizontal="center" vertical="center" textRotation="90" wrapText="1"/>
    </xf>
    <xf numFmtId="0" fontId="8" fillId="8" borderId="1" xfId="0" applyNumberFormat="1" applyFont="1" applyFill="1" applyBorder="1" applyAlignment="1">
      <alignment horizontal="center" vertical="center" textRotation="90" wrapText="1"/>
    </xf>
    <xf numFmtId="0" fontId="8" fillId="8" borderId="3" xfId="0" applyNumberFormat="1" applyFont="1" applyFill="1" applyBorder="1" applyAlignment="1">
      <alignment horizontal="center" vertical="center" textRotation="90" wrapText="1"/>
    </xf>
    <xf numFmtId="0" fontId="9" fillId="8" borderId="4" xfId="0" applyNumberFormat="1" applyFont="1" applyFill="1" applyBorder="1" applyAlignment="1">
      <alignment horizontal="center" vertical="center" wrapText="1"/>
    </xf>
    <xf numFmtId="0" fontId="11" fillId="4" borderId="4" xfId="5" applyFont="1" applyFill="1" applyBorder="1" applyAlignment="1">
      <alignment horizontal="center" vertical="center" wrapText="1"/>
    </xf>
    <xf numFmtId="43" fontId="11" fillId="4" borderId="7" xfId="3" applyFont="1" applyFill="1" applyBorder="1" applyAlignment="1">
      <alignment horizontal="center" vertical="center" wrapText="1"/>
    </xf>
    <xf numFmtId="0" fontId="11" fillId="4" borderId="7" xfId="5" applyFont="1" applyFill="1" applyBorder="1" applyAlignment="1">
      <alignment horizontal="center" vertical="center" wrapText="1"/>
    </xf>
    <xf numFmtId="0" fontId="12" fillId="6" borderId="1" xfId="5" applyFont="1" applyFill="1" applyBorder="1" applyAlignment="1">
      <alignment horizontal="center" vertical="center" wrapText="1"/>
    </xf>
    <xf numFmtId="0" fontId="12" fillId="6" borderId="8" xfId="5" applyFont="1" applyFill="1" applyBorder="1" applyAlignment="1">
      <alignment horizontal="center" vertical="center" wrapText="1"/>
    </xf>
    <xf numFmtId="0" fontId="12" fillId="6" borderId="3" xfId="5" applyFont="1" applyFill="1" applyBorder="1" applyAlignment="1">
      <alignment horizontal="center" vertical="center" wrapText="1"/>
    </xf>
    <xf numFmtId="0" fontId="9" fillId="8" borderId="1" xfId="0" applyNumberFormat="1" applyFont="1" applyFill="1" applyBorder="1" applyAlignment="1">
      <alignment horizontal="center" vertical="center" wrapText="1"/>
    </xf>
    <xf numFmtId="0" fontId="9" fillId="8" borderId="3" xfId="0" applyNumberFormat="1" applyFont="1" applyFill="1" applyBorder="1" applyAlignment="1">
      <alignment horizontal="center" vertical="center" wrapText="1"/>
    </xf>
    <xf numFmtId="0" fontId="8" fillId="8" borderId="1" xfId="3" applyNumberFormat="1" applyFont="1" applyFill="1" applyBorder="1" applyAlignment="1">
      <alignment horizontal="center" vertical="center" textRotation="90" wrapText="1"/>
    </xf>
    <xf numFmtId="0" fontId="8" fillId="8" borderId="3" xfId="3" applyNumberFormat="1" applyFont="1" applyFill="1" applyBorder="1" applyAlignment="1">
      <alignment horizontal="center" vertical="center" textRotation="90" wrapText="1"/>
    </xf>
    <xf numFmtId="0" fontId="12" fillId="4" borderId="1" xfId="5" applyFont="1" applyFill="1" applyBorder="1" applyAlignment="1">
      <alignment horizontal="center" vertical="center" wrapText="1"/>
    </xf>
    <xf numFmtId="0" fontId="12" fillId="4" borderId="8" xfId="5" applyFont="1" applyFill="1" applyBorder="1" applyAlignment="1">
      <alignment horizontal="center" vertical="center" wrapText="1"/>
    </xf>
    <xf numFmtId="0" fontId="12" fillId="4" borderId="3" xfId="5" applyFont="1" applyFill="1" applyBorder="1" applyAlignment="1">
      <alignment horizontal="center" vertical="center" wrapText="1"/>
    </xf>
    <xf numFmtId="0" fontId="11" fillId="8" borderId="1" xfId="5" applyFont="1" applyFill="1" applyBorder="1" applyAlignment="1">
      <alignment horizontal="center" vertical="center" wrapText="1"/>
    </xf>
    <xf numFmtId="0" fontId="11" fillId="8" borderId="8" xfId="5" applyFont="1" applyFill="1" applyBorder="1" applyAlignment="1">
      <alignment horizontal="center" vertical="center" wrapText="1"/>
    </xf>
    <xf numFmtId="0" fontId="11" fillId="8" borderId="3" xfId="5" applyFont="1" applyFill="1" applyBorder="1" applyAlignment="1">
      <alignment horizontal="center" vertical="center" wrapText="1"/>
    </xf>
    <xf numFmtId="0" fontId="10" fillId="4" borderId="1" xfId="5" applyFont="1" applyFill="1" applyBorder="1" applyAlignment="1">
      <alignment horizontal="center" vertical="center" wrapText="1"/>
    </xf>
    <xf numFmtId="0" fontId="10" fillId="4" borderId="8" xfId="5" applyFont="1" applyFill="1" applyBorder="1" applyAlignment="1">
      <alignment horizontal="center" vertical="center" wrapText="1"/>
    </xf>
    <xf numFmtId="0" fontId="10" fillId="4" borderId="3" xfId="5" applyFont="1" applyFill="1" applyBorder="1" applyAlignment="1">
      <alignment horizontal="center" vertical="center" wrapText="1"/>
    </xf>
    <xf numFmtId="0" fontId="9" fillId="4" borderId="8" xfId="5" applyFont="1" applyFill="1" applyBorder="1" applyAlignment="1">
      <alignment horizontal="center" vertical="center" wrapText="1"/>
    </xf>
    <xf numFmtId="0" fontId="9" fillId="4" borderId="3" xfId="5" applyFont="1" applyFill="1" applyBorder="1" applyAlignment="1">
      <alignment horizontal="center" vertical="center" wrapText="1"/>
    </xf>
    <xf numFmtId="0" fontId="11" fillId="5" borderId="8" xfId="5" applyFont="1" applyFill="1" applyBorder="1" applyAlignment="1">
      <alignment horizontal="center" vertical="center" wrapText="1"/>
    </xf>
    <xf numFmtId="0" fontId="11" fillId="5" borderId="3" xfId="5" applyFont="1" applyFill="1" applyBorder="1" applyAlignment="1">
      <alignment horizontal="center" vertical="center" wrapText="1"/>
    </xf>
    <xf numFmtId="0" fontId="11" fillId="7" borderId="8" xfId="5" applyFont="1" applyFill="1" applyBorder="1" applyAlignment="1">
      <alignment horizontal="center" vertical="center" wrapText="1"/>
    </xf>
    <xf numFmtId="0" fontId="11" fillId="7" borderId="3" xfId="5" applyFont="1" applyFill="1" applyBorder="1" applyAlignment="1">
      <alignment horizontal="center" vertical="center" wrapText="1"/>
    </xf>
    <xf numFmtId="43" fontId="12" fillId="8" borderId="4" xfId="3" applyFont="1" applyFill="1" applyBorder="1" applyAlignment="1">
      <alignment horizontal="center" vertical="center" wrapText="1"/>
    </xf>
    <xf numFmtId="0" fontId="12" fillId="8" borderId="7" xfId="5" applyFont="1" applyFill="1" applyBorder="1" applyAlignment="1">
      <alignment horizontal="center" vertical="center" wrapText="1"/>
    </xf>
    <xf numFmtId="0" fontId="12" fillId="8" borderId="5" xfId="5" applyFont="1" applyFill="1" applyBorder="1" applyAlignment="1">
      <alignment horizontal="center" vertical="center" wrapText="1"/>
    </xf>
    <xf numFmtId="0" fontId="12" fillId="9" borderId="4" xfId="5" applyFont="1" applyFill="1" applyBorder="1" applyAlignment="1">
      <alignment horizontal="center" vertical="center" wrapText="1"/>
    </xf>
    <xf numFmtId="0" fontId="12" fillId="9" borderId="7" xfId="5" applyFont="1" applyFill="1" applyBorder="1" applyAlignment="1">
      <alignment horizontal="center" vertical="center" wrapText="1"/>
    </xf>
    <xf numFmtId="0" fontId="12" fillId="9" borderId="5" xfId="5" applyFont="1" applyFill="1" applyBorder="1" applyAlignment="1">
      <alignment horizontal="center" vertical="center" wrapText="1"/>
    </xf>
    <xf numFmtId="0" fontId="9" fillId="2" borderId="0" xfId="4" applyNumberFormat="1" applyFont="1" applyFill="1" applyAlignment="1" applyProtection="1">
      <alignment horizontal="center"/>
    </xf>
    <xf numFmtId="0" fontId="8" fillId="2" borderId="0" xfId="4" applyNumberFormat="1" applyFont="1" applyFill="1" applyBorder="1" applyAlignment="1" applyProtection="1">
      <alignment horizontal="center"/>
    </xf>
    <xf numFmtId="0" fontId="9" fillId="2" borderId="0" xfId="4" applyNumberFormat="1" applyFont="1" applyFill="1" applyBorder="1" applyAlignment="1" applyProtection="1">
      <alignment horizontal="center"/>
    </xf>
  </cellXfs>
  <cellStyles count="8">
    <cellStyle name="Comma" xfId="3" builtinId="3"/>
    <cellStyle name="Normal" xfId="0" builtinId="0"/>
    <cellStyle name="Normal 11" xfId="5"/>
    <cellStyle name="Normal 2" xfId="6"/>
    <cellStyle name="Normal 2 2" xfId="7"/>
    <cellStyle name="Normal 2 2 2" xfId="4"/>
    <cellStyle name="Normal 3" xfId="1"/>
    <cellStyle name="Normal 3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CI521"/>
  <sheetViews>
    <sheetView tabSelected="1" workbookViewId="0">
      <pane xSplit="5" ySplit="7" topLeftCell="F98" activePane="bottomRight" state="frozen"/>
      <selection pane="topRight" activeCell="F1" sqref="F1"/>
      <selection pane="bottomLeft" activeCell="A12" sqref="A12"/>
      <selection pane="bottomRight" activeCell="F109" sqref="F109:N120"/>
    </sheetView>
  </sheetViews>
  <sheetFormatPr defaultColWidth="9.140625" defaultRowHeight="11.25" x14ac:dyDescent="0.2"/>
  <cols>
    <col min="1" max="1" width="3.85546875" style="60" customWidth="1"/>
    <col min="2" max="2" width="10" style="60" customWidth="1"/>
    <col min="3" max="3" width="8.28515625" style="60" customWidth="1"/>
    <col min="4" max="4" width="30.140625" style="61" customWidth="1"/>
    <col min="5" max="5" width="8.140625" style="62" customWidth="1"/>
    <col min="6" max="6" width="9.42578125" style="63" customWidth="1"/>
    <col min="7" max="7" width="12.85546875" style="64" customWidth="1"/>
    <col min="8" max="8" width="12.28515625" style="60" customWidth="1"/>
    <col min="9" max="9" width="12.7109375" style="65" customWidth="1"/>
    <col min="10" max="10" width="13.28515625" style="65" customWidth="1"/>
    <col min="11" max="11" width="10.28515625" style="60" customWidth="1"/>
    <col min="12" max="12" width="12.7109375" style="60" customWidth="1"/>
    <col min="13" max="13" width="11.7109375" style="60" customWidth="1"/>
    <col min="14" max="14" width="15" style="65" customWidth="1"/>
    <col min="15" max="15" width="13.85546875" style="65" customWidth="1"/>
    <col min="16" max="16" width="14" style="65" customWidth="1"/>
    <col min="17" max="17" width="13.7109375" style="60" customWidth="1"/>
    <col min="18" max="18" width="13" style="60" customWidth="1"/>
    <col min="19" max="20" width="13.28515625" style="60" customWidth="1"/>
    <col min="21" max="21" width="13.140625" style="60" customWidth="1"/>
    <col min="22" max="22" width="11.42578125" style="66" customWidth="1"/>
    <col min="23" max="23" width="11.85546875" style="66" customWidth="1"/>
    <col min="24" max="24" width="12.7109375" style="60" customWidth="1"/>
    <col min="25" max="25" width="13.7109375" style="66" customWidth="1"/>
    <col min="26" max="26" width="13" style="60" customWidth="1"/>
    <col min="27" max="27" width="14.5703125" style="60" customWidth="1"/>
    <col min="28" max="28" width="13.5703125" style="60" customWidth="1"/>
    <col min="29" max="29" width="11.5703125" style="60" customWidth="1"/>
    <col min="30" max="30" width="11.42578125" style="66" customWidth="1"/>
    <col min="31" max="31" width="10" style="60" customWidth="1"/>
    <col min="32" max="32" width="15.5703125" style="60" customWidth="1"/>
    <col min="33" max="33" width="14.5703125" style="67" customWidth="1"/>
    <col min="34" max="34" width="13" style="66" customWidth="1"/>
    <col min="35" max="35" width="6.42578125" style="66" customWidth="1"/>
    <col min="36" max="36" width="13.140625" style="66" customWidth="1"/>
    <col min="37" max="37" width="13.85546875" style="60" customWidth="1"/>
    <col min="38" max="38" width="4.7109375" style="60" customWidth="1"/>
    <col min="39" max="39" width="13.7109375" style="60" customWidth="1"/>
    <col min="40" max="40" width="12.140625" style="60" customWidth="1"/>
    <col min="41" max="42" width="13.7109375" style="60" customWidth="1"/>
    <col min="43" max="43" width="11" style="60" customWidth="1"/>
    <col min="44" max="44" width="15.42578125" style="66" customWidth="1"/>
    <col min="45" max="45" width="14.5703125" style="66" customWidth="1"/>
    <col min="46" max="46" width="14.7109375" style="66" hidden="1" customWidth="1"/>
    <col min="47" max="47" width="6" style="8" hidden="1" customWidth="1"/>
    <col min="48" max="48" width="7.28515625" style="9" hidden="1" customWidth="1"/>
    <col min="49" max="49" width="14.85546875" style="9" hidden="1" customWidth="1"/>
    <col min="50" max="50" width="33.140625" style="9" hidden="1" customWidth="1"/>
    <col min="51" max="51" width="8.85546875" style="9" hidden="1" customWidth="1"/>
    <col min="52" max="52" width="16.140625" style="10" hidden="1" customWidth="1"/>
    <col min="53" max="53" width="13.7109375" style="9" hidden="1" customWidth="1"/>
    <col min="54" max="54" width="16" style="11" hidden="1" customWidth="1"/>
    <col min="55" max="55" width="14" style="9" hidden="1" customWidth="1"/>
    <col min="56" max="56" width="14.28515625" style="9" hidden="1" customWidth="1"/>
    <col min="57" max="57" width="15.28515625" style="9" hidden="1" customWidth="1"/>
    <col min="58" max="58" width="13.140625" style="9" hidden="1" customWidth="1"/>
    <col min="59" max="59" width="13.7109375" style="9" hidden="1" customWidth="1"/>
    <col min="60" max="60" width="14" style="9" hidden="1" customWidth="1"/>
    <col min="61" max="61" width="14.140625" style="9" hidden="1" customWidth="1"/>
    <col min="62" max="62" width="13.85546875" style="9" hidden="1" customWidth="1"/>
    <col min="63" max="63" width="13.28515625" style="9" hidden="1" customWidth="1"/>
    <col min="64" max="64" width="15.5703125" style="9" hidden="1" customWidth="1"/>
    <col min="65" max="65" width="10.85546875" style="9" hidden="1" customWidth="1"/>
    <col min="66" max="66" width="12.28515625" style="9" hidden="1" customWidth="1"/>
    <col min="67" max="67" width="13.140625" style="9" hidden="1" customWidth="1"/>
    <col min="68" max="68" width="15.140625" style="9" hidden="1" customWidth="1"/>
    <col min="69" max="69" width="13.7109375" style="9" hidden="1" customWidth="1"/>
    <col min="70" max="70" width="10.42578125" style="9" hidden="1" customWidth="1"/>
    <col min="71" max="71" width="12.85546875" style="9" hidden="1" customWidth="1"/>
    <col min="72" max="72" width="16.42578125" style="9" hidden="1" customWidth="1"/>
    <col min="73" max="73" width="10.140625" style="9" hidden="1" customWidth="1"/>
    <col min="74" max="74" width="11.7109375" style="9" hidden="1" customWidth="1"/>
    <col min="75" max="75" width="15.140625" style="9" hidden="1" customWidth="1"/>
    <col min="76" max="76" width="13.140625" style="9" hidden="1" customWidth="1"/>
    <col min="77" max="77" width="14.140625" style="9" hidden="1" customWidth="1"/>
    <col min="78" max="78" width="12.42578125" style="9" hidden="1" customWidth="1"/>
    <col min="79" max="79" width="11.140625" style="9" hidden="1" customWidth="1"/>
    <col min="80" max="80" width="15.42578125" style="10" hidden="1" customWidth="1"/>
    <col min="81" max="81" width="8.85546875" style="9" hidden="1" customWidth="1"/>
    <col min="82" max="82" width="16" style="10" hidden="1" customWidth="1"/>
    <col min="83" max="83" width="6.5703125" style="12" hidden="1" customWidth="1"/>
    <col min="84" max="84" width="11.5703125" style="12" hidden="1" customWidth="1"/>
    <col min="85" max="85" width="16.7109375" style="10" hidden="1" customWidth="1"/>
    <col min="86" max="86" width="15.5703125" style="11" hidden="1" customWidth="1"/>
    <col min="87" max="87" width="17.85546875" style="66" hidden="1" customWidth="1"/>
    <col min="88" max="88" width="0" style="68" hidden="1" customWidth="1"/>
    <col min="89" max="16384" width="9.140625" style="68"/>
  </cols>
  <sheetData>
    <row r="1" spans="1:87" ht="15" x14ac:dyDescent="0.25">
      <c r="A1" s="73"/>
      <c r="AO1" s="60" t="s">
        <v>90</v>
      </c>
    </row>
    <row r="2" spans="1:87" ht="15" x14ac:dyDescent="0.25">
      <c r="A2" s="73"/>
    </row>
    <row r="3" spans="1:87" s="13" customFormat="1" ht="12" customHeight="1" x14ac:dyDescent="0.2">
      <c r="A3" s="2"/>
      <c r="B3" s="2"/>
      <c r="C3" s="149" t="s">
        <v>91</v>
      </c>
      <c r="D3" s="150"/>
      <c r="E3" s="62"/>
      <c r="F3" s="150"/>
      <c r="G3" s="62"/>
      <c r="H3" s="150"/>
      <c r="I3" s="150"/>
      <c r="J3" s="150"/>
      <c r="K3" s="150"/>
      <c r="L3" s="2"/>
      <c r="M3" s="2"/>
      <c r="N3" s="2"/>
      <c r="O3" s="2"/>
      <c r="P3" s="2"/>
      <c r="Q3" s="14"/>
      <c r="R3" s="15"/>
      <c r="S3" s="15"/>
      <c r="T3" s="2"/>
      <c r="U3" s="2"/>
      <c r="V3" s="2"/>
      <c r="W3" s="2"/>
      <c r="X3" s="2"/>
      <c r="Y3" s="15"/>
      <c r="Z3" s="3"/>
      <c r="AA3" s="4"/>
      <c r="AB3" s="2"/>
      <c r="AC3" s="2"/>
      <c r="AD3" s="2"/>
      <c r="AE3" s="2"/>
      <c r="AF3" s="15"/>
      <c r="AG3" s="2" t="s">
        <v>203</v>
      </c>
      <c r="AH3" s="2"/>
      <c r="AI3" s="2"/>
      <c r="AJ3" s="2"/>
      <c r="AK3" s="2"/>
      <c r="AL3" s="15"/>
      <c r="AM3" s="2"/>
      <c r="AN3" s="2"/>
      <c r="AO3" s="2"/>
      <c r="AP3" s="2"/>
      <c r="AQ3" s="2"/>
      <c r="AR3" s="2"/>
      <c r="AS3" s="2"/>
      <c r="AT3" s="2"/>
      <c r="AU3" s="16"/>
      <c r="AV3" s="17"/>
      <c r="AW3" s="17"/>
      <c r="AX3" s="18"/>
      <c r="AY3" s="19" t="s">
        <v>41</v>
      </c>
      <c r="AZ3" s="20"/>
      <c r="BA3" s="18"/>
      <c r="BB3" s="21"/>
      <c r="BC3" s="18"/>
      <c r="BD3" s="18"/>
      <c r="BE3" s="17"/>
      <c r="BF3" s="17"/>
      <c r="BG3" s="17"/>
      <c r="BH3" s="17"/>
      <c r="BI3" s="18"/>
      <c r="BJ3" s="18"/>
      <c r="BK3" s="18"/>
      <c r="BL3" s="18"/>
      <c r="BM3" s="18"/>
      <c r="BN3" s="18"/>
      <c r="BO3" s="18"/>
      <c r="BP3" s="22" t="s">
        <v>42</v>
      </c>
      <c r="BQ3" s="23"/>
      <c r="BR3" s="18"/>
      <c r="BS3" s="18"/>
      <c r="BT3" s="18"/>
      <c r="BU3" s="18"/>
      <c r="BV3" s="17"/>
      <c r="BW3" s="17"/>
      <c r="BX3" s="17"/>
      <c r="BY3" s="18"/>
      <c r="BZ3" s="18"/>
      <c r="CA3" s="18"/>
      <c r="CB3" s="20"/>
      <c r="CC3" s="18"/>
      <c r="CD3" s="20"/>
      <c r="CE3" s="24"/>
      <c r="CF3" s="25"/>
      <c r="CG3" s="20"/>
      <c r="CH3" s="26"/>
      <c r="CI3" s="2"/>
    </row>
    <row r="4" spans="1:87" s="13" customFormat="1" ht="12" customHeight="1" x14ac:dyDescent="0.2">
      <c r="A4" s="2"/>
      <c r="B4" s="2"/>
      <c r="C4" s="151" t="s">
        <v>43</v>
      </c>
      <c r="D4" s="149"/>
      <c r="E4" s="62"/>
      <c r="F4" s="150"/>
      <c r="G4" s="62"/>
      <c r="H4" s="150"/>
      <c r="I4" s="150"/>
      <c r="J4" s="150"/>
      <c r="K4" s="150"/>
      <c r="L4" s="2"/>
      <c r="M4" s="2"/>
      <c r="N4" s="2"/>
      <c r="O4" s="2"/>
      <c r="P4" s="2"/>
      <c r="Q4" s="2"/>
      <c r="R4" s="2"/>
      <c r="S4" s="15"/>
      <c r="T4" s="2"/>
      <c r="U4" s="2"/>
      <c r="V4" s="2"/>
      <c r="W4" s="2"/>
      <c r="X4" s="2"/>
      <c r="Y4" s="69"/>
      <c r="Z4" s="15"/>
      <c r="AA4" s="4"/>
      <c r="AB4" s="2"/>
      <c r="AC4" s="2"/>
      <c r="AD4" s="2"/>
      <c r="AE4" s="2"/>
      <c r="AF4" s="15"/>
      <c r="AG4" s="2"/>
      <c r="AH4" s="2"/>
      <c r="AI4" s="2"/>
      <c r="AJ4" s="2"/>
      <c r="AK4" s="2"/>
      <c r="AL4" s="15"/>
      <c r="AM4" s="2"/>
      <c r="AN4" s="2"/>
      <c r="AO4" s="2"/>
      <c r="AP4" s="2"/>
      <c r="AQ4" s="2"/>
      <c r="AR4" s="2"/>
      <c r="AS4" s="2"/>
      <c r="AT4" s="2"/>
      <c r="AU4" s="16"/>
      <c r="AV4" s="17"/>
      <c r="AW4" s="18"/>
      <c r="AX4" s="18"/>
      <c r="AY4" s="22" t="s">
        <v>44</v>
      </c>
      <c r="AZ4" s="27"/>
      <c r="BA4" s="18"/>
      <c r="BB4" s="21"/>
      <c r="BC4" s="18"/>
      <c r="BD4" s="18"/>
      <c r="BE4" s="17"/>
      <c r="BF4" s="17"/>
      <c r="BG4" s="17"/>
      <c r="BH4" s="17"/>
      <c r="BI4" s="18"/>
      <c r="BJ4" s="18"/>
      <c r="BK4" s="18"/>
      <c r="BL4" s="18"/>
      <c r="BM4" s="18"/>
      <c r="BN4" s="18"/>
      <c r="BO4" s="18"/>
      <c r="BP4" s="23" t="s">
        <v>45</v>
      </c>
      <c r="BQ4" s="23"/>
      <c r="BR4" s="18"/>
      <c r="BS4" s="18"/>
      <c r="BT4" s="18"/>
      <c r="BU4" s="18"/>
      <c r="BV4" s="17"/>
      <c r="BW4" s="17"/>
      <c r="BX4" s="18"/>
      <c r="BY4" s="18"/>
      <c r="BZ4" s="18"/>
      <c r="CA4" s="18"/>
      <c r="CB4" s="20"/>
      <c r="CC4" s="18"/>
      <c r="CD4" s="20"/>
      <c r="CE4" s="24"/>
      <c r="CF4" s="25"/>
      <c r="CG4" s="20"/>
      <c r="CH4" s="26"/>
      <c r="CI4" s="2"/>
    </row>
    <row r="5" spans="1:87" s="13" customFormat="1" ht="12" customHeight="1" x14ac:dyDescent="0.2">
      <c r="A5" s="2"/>
      <c r="B5" s="2"/>
      <c r="C5" s="2"/>
      <c r="D5" s="3"/>
      <c r="E5" s="4"/>
      <c r="F5" s="5"/>
      <c r="G5" s="6"/>
      <c r="H5" s="2"/>
      <c r="I5" s="2"/>
      <c r="J5" s="7"/>
      <c r="K5" s="2"/>
      <c r="L5" s="2"/>
      <c r="M5" s="2"/>
      <c r="N5" s="28"/>
      <c r="O5" s="2"/>
      <c r="P5" s="29"/>
      <c r="Q5" s="2"/>
      <c r="R5" s="28"/>
      <c r="S5" s="2"/>
      <c r="T5" s="28"/>
      <c r="U5" s="14"/>
      <c r="V5" s="2"/>
      <c r="W5" s="2"/>
      <c r="X5" s="2"/>
      <c r="Y5" s="2"/>
      <c r="Z5" s="7" t="s">
        <v>1</v>
      </c>
      <c r="AA5" s="2"/>
      <c r="AB5" s="2"/>
      <c r="AC5" s="2"/>
      <c r="AD5" s="2"/>
      <c r="AE5" s="2"/>
      <c r="AF5" s="7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7" t="s">
        <v>1</v>
      </c>
      <c r="AS5" s="2"/>
      <c r="AT5" s="2"/>
      <c r="AU5" s="137"/>
      <c r="AV5" s="137"/>
      <c r="AW5" s="137"/>
      <c r="AX5" s="137"/>
      <c r="AY5" s="137"/>
      <c r="AZ5" s="137"/>
      <c r="BA5" s="128" t="s">
        <v>48</v>
      </c>
      <c r="BB5" s="143" t="s">
        <v>49</v>
      </c>
      <c r="BC5" s="144"/>
      <c r="BD5" s="145"/>
      <c r="BE5" s="146" t="s">
        <v>50</v>
      </c>
      <c r="BF5" s="147"/>
      <c r="BG5" s="148"/>
      <c r="BH5" s="128" t="s">
        <v>51</v>
      </c>
      <c r="BI5" s="128" t="s">
        <v>52</v>
      </c>
      <c r="BJ5" s="128" t="s">
        <v>53</v>
      </c>
      <c r="BK5" s="134" t="s">
        <v>54</v>
      </c>
      <c r="BL5" s="131" t="s">
        <v>47</v>
      </c>
      <c r="BM5" s="128" t="s">
        <v>55</v>
      </c>
      <c r="BN5" s="128" t="s">
        <v>56</v>
      </c>
      <c r="BO5" s="128" t="s">
        <v>57</v>
      </c>
      <c r="BP5" s="128" t="s">
        <v>58</v>
      </c>
      <c r="BQ5" s="128" t="s">
        <v>59</v>
      </c>
      <c r="BR5" s="128" t="s">
        <v>60</v>
      </c>
      <c r="BS5" s="131" t="s">
        <v>47</v>
      </c>
      <c r="BT5" s="141"/>
      <c r="BU5" s="137"/>
      <c r="BV5" s="121" t="s">
        <v>61</v>
      </c>
      <c r="BW5" s="121" t="s">
        <v>62</v>
      </c>
      <c r="BX5" s="121" t="s">
        <v>63</v>
      </c>
      <c r="BY5" s="121" t="s">
        <v>64</v>
      </c>
      <c r="BZ5" s="121" t="s">
        <v>60</v>
      </c>
      <c r="CA5" s="121" t="s">
        <v>58</v>
      </c>
      <c r="CB5" s="132"/>
      <c r="CC5" s="121" t="s">
        <v>65</v>
      </c>
      <c r="CD5" s="141"/>
      <c r="CE5" s="139"/>
      <c r="CF5" s="122"/>
      <c r="CG5" s="141"/>
      <c r="CH5" s="26"/>
      <c r="CI5" s="2"/>
    </row>
    <row r="6" spans="1:87" s="36" customFormat="1" ht="36.75" customHeight="1" x14ac:dyDescent="0.2">
      <c r="A6" s="124" t="s">
        <v>0</v>
      </c>
      <c r="B6" s="115" t="s">
        <v>46</v>
      </c>
      <c r="C6" s="115" t="s">
        <v>2</v>
      </c>
      <c r="D6" s="115" t="s">
        <v>3</v>
      </c>
      <c r="E6" s="115" t="s">
        <v>66</v>
      </c>
      <c r="F6" s="115" t="s">
        <v>67</v>
      </c>
      <c r="G6" s="126" t="s">
        <v>9</v>
      </c>
      <c r="H6" s="115" t="s">
        <v>10</v>
      </c>
      <c r="I6" s="115" t="s">
        <v>11</v>
      </c>
      <c r="J6" s="115" t="s">
        <v>12</v>
      </c>
      <c r="K6" s="115" t="s">
        <v>13</v>
      </c>
      <c r="L6" s="113" t="s">
        <v>68</v>
      </c>
      <c r="M6" s="117" t="s">
        <v>69</v>
      </c>
      <c r="N6" s="111"/>
      <c r="O6" s="111"/>
      <c r="P6" s="112"/>
      <c r="Q6" s="110" t="s">
        <v>70</v>
      </c>
      <c r="R6" s="110"/>
      <c r="S6" s="110"/>
      <c r="T6" s="110"/>
      <c r="U6" s="110"/>
      <c r="V6" s="110"/>
      <c r="W6" s="111" t="s">
        <v>70</v>
      </c>
      <c r="X6" s="112"/>
      <c r="Y6" s="117" t="s">
        <v>5</v>
      </c>
      <c r="Z6" s="112"/>
      <c r="AA6" s="115" t="s">
        <v>71</v>
      </c>
      <c r="AB6" s="115" t="s">
        <v>14</v>
      </c>
      <c r="AC6" s="115" t="s">
        <v>72</v>
      </c>
      <c r="AD6" s="115" t="s">
        <v>15</v>
      </c>
      <c r="AE6" s="115" t="s">
        <v>16</v>
      </c>
      <c r="AF6" s="113" t="s">
        <v>6</v>
      </c>
      <c r="AG6" s="113" t="s">
        <v>4</v>
      </c>
      <c r="AH6" s="115" t="s">
        <v>17</v>
      </c>
      <c r="AI6" s="115" t="s">
        <v>18</v>
      </c>
      <c r="AJ6" s="113" t="s">
        <v>7</v>
      </c>
      <c r="AK6" s="117" t="s">
        <v>19</v>
      </c>
      <c r="AL6" s="112"/>
      <c r="AM6" s="115" t="s">
        <v>73</v>
      </c>
      <c r="AN6" s="115" t="s">
        <v>74</v>
      </c>
      <c r="AO6" s="115" t="s">
        <v>20</v>
      </c>
      <c r="AP6" s="115" t="s">
        <v>21</v>
      </c>
      <c r="AQ6" s="115" t="s">
        <v>22</v>
      </c>
      <c r="AR6" s="113" t="s">
        <v>8</v>
      </c>
      <c r="AS6" s="113" t="s">
        <v>75</v>
      </c>
      <c r="AT6" s="30"/>
      <c r="AU6" s="137"/>
      <c r="AV6" s="137"/>
      <c r="AW6" s="137"/>
      <c r="AX6" s="137"/>
      <c r="AY6" s="137"/>
      <c r="AZ6" s="137"/>
      <c r="BA6" s="130"/>
      <c r="BB6" s="31" t="s">
        <v>76</v>
      </c>
      <c r="BC6" s="32" t="s">
        <v>77</v>
      </c>
      <c r="BD6" s="32" t="s">
        <v>78</v>
      </c>
      <c r="BE6" s="33" t="s">
        <v>76</v>
      </c>
      <c r="BF6" s="33" t="s">
        <v>77</v>
      </c>
      <c r="BG6" s="33" t="s">
        <v>78</v>
      </c>
      <c r="BH6" s="129"/>
      <c r="BI6" s="129"/>
      <c r="BJ6" s="129"/>
      <c r="BK6" s="135"/>
      <c r="BL6" s="132"/>
      <c r="BM6" s="129"/>
      <c r="BN6" s="129"/>
      <c r="BO6" s="129"/>
      <c r="BP6" s="129"/>
      <c r="BQ6" s="129"/>
      <c r="BR6" s="129"/>
      <c r="BS6" s="132"/>
      <c r="BT6" s="141"/>
      <c r="BU6" s="137"/>
      <c r="BV6" s="122"/>
      <c r="BW6" s="122"/>
      <c r="BX6" s="122"/>
      <c r="BY6" s="122"/>
      <c r="BZ6" s="122"/>
      <c r="CA6" s="122"/>
      <c r="CB6" s="132"/>
      <c r="CC6" s="122"/>
      <c r="CD6" s="141"/>
      <c r="CE6" s="139"/>
      <c r="CF6" s="122"/>
      <c r="CG6" s="141"/>
      <c r="CH6" s="34"/>
      <c r="CI6" s="35"/>
    </row>
    <row r="7" spans="1:87" s="36" customFormat="1" ht="97.5" customHeight="1" x14ac:dyDescent="0.2">
      <c r="A7" s="125"/>
      <c r="B7" s="116"/>
      <c r="C7" s="116"/>
      <c r="D7" s="116"/>
      <c r="E7" s="116"/>
      <c r="F7" s="116"/>
      <c r="G7" s="127"/>
      <c r="H7" s="116"/>
      <c r="I7" s="116"/>
      <c r="J7" s="116"/>
      <c r="K7" s="116"/>
      <c r="L7" s="114"/>
      <c r="M7" s="37" t="s">
        <v>79</v>
      </c>
      <c r="N7" s="70" t="s">
        <v>23</v>
      </c>
      <c r="O7" s="70" t="s">
        <v>24</v>
      </c>
      <c r="P7" s="70" t="s">
        <v>25</v>
      </c>
      <c r="Q7" s="70" t="s">
        <v>26</v>
      </c>
      <c r="R7" s="70" t="s">
        <v>27</v>
      </c>
      <c r="S7" s="70" t="s">
        <v>28</v>
      </c>
      <c r="T7" s="70" t="s">
        <v>29</v>
      </c>
      <c r="U7" s="70" t="s">
        <v>30</v>
      </c>
      <c r="V7" s="70" t="s">
        <v>31</v>
      </c>
      <c r="W7" s="70" t="s">
        <v>32</v>
      </c>
      <c r="X7" s="70" t="s">
        <v>33</v>
      </c>
      <c r="Y7" s="70" t="s">
        <v>34</v>
      </c>
      <c r="Z7" s="70" t="s">
        <v>35</v>
      </c>
      <c r="AA7" s="116"/>
      <c r="AB7" s="116"/>
      <c r="AC7" s="116"/>
      <c r="AD7" s="116"/>
      <c r="AE7" s="116"/>
      <c r="AF7" s="114"/>
      <c r="AG7" s="114"/>
      <c r="AH7" s="116"/>
      <c r="AI7" s="116"/>
      <c r="AJ7" s="114"/>
      <c r="AK7" s="70" t="s">
        <v>80</v>
      </c>
      <c r="AL7" s="70" t="s">
        <v>36</v>
      </c>
      <c r="AM7" s="116"/>
      <c r="AN7" s="116"/>
      <c r="AO7" s="116"/>
      <c r="AP7" s="116"/>
      <c r="AQ7" s="116"/>
      <c r="AR7" s="114"/>
      <c r="AS7" s="114"/>
      <c r="AT7" s="30"/>
      <c r="AU7" s="138"/>
      <c r="AV7" s="138"/>
      <c r="AW7" s="138"/>
      <c r="AX7" s="138"/>
      <c r="AY7" s="138"/>
      <c r="AZ7" s="138"/>
      <c r="BA7" s="118" t="s">
        <v>81</v>
      </c>
      <c r="BB7" s="119"/>
      <c r="BC7" s="120"/>
      <c r="BD7" s="120"/>
      <c r="BE7" s="120"/>
      <c r="BF7" s="38"/>
      <c r="BG7" s="38"/>
      <c r="BH7" s="130"/>
      <c r="BI7" s="130"/>
      <c r="BJ7" s="130"/>
      <c r="BK7" s="136"/>
      <c r="BL7" s="133"/>
      <c r="BM7" s="130"/>
      <c r="BN7" s="130"/>
      <c r="BO7" s="130"/>
      <c r="BP7" s="130"/>
      <c r="BQ7" s="130"/>
      <c r="BR7" s="130"/>
      <c r="BS7" s="133"/>
      <c r="BT7" s="142"/>
      <c r="BU7" s="138"/>
      <c r="BV7" s="123"/>
      <c r="BW7" s="123"/>
      <c r="BX7" s="123"/>
      <c r="BY7" s="123"/>
      <c r="BZ7" s="123"/>
      <c r="CA7" s="123"/>
      <c r="CB7" s="133"/>
      <c r="CC7" s="123"/>
      <c r="CD7" s="142"/>
      <c r="CE7" s="140"/>
      <c r="CF7" s="123"/>
      <c r="CG7" s="142"/>
      <c r="CH7" s="34"/>
      <c r="CI7" s="35"/>
    </row>
    <row r="8" spans="1:87" s="48" customFormat="1" x14ac:dyDescent="0.2">
      <c r="A8" s="74">
        <v>1</v>
      </c>
      <c r="B8" s="75" t="s">
        <v>202</v>
      </c>
      <c r="C8" s="75" t="s">
        <v>92</v>
      </c>
      <c r="D8" s="76" t="s">
        <v>93</v>
      </c>
      <c r="E8" s="77">
        <v>9025227</v>
      </c>
      <c r="F8" s="78" t="s">
        <v>94</v>
      </c>
      <c r="G8" s="79"/>
      <c r="H8" s="79"/>
      <c r="I8" s="79">
        <v>5329761.38</v>
      </c>
      <c r="J8" s="79">
        <v>57759977</v>
      </c>
      <c r="K8" s="79"/>
      <c r="L8" s="79">
        <f>SUM(G8:K8)</f>
        <v>63089738.380000003</v>
      </c>
      <c r="M8" s="79"/>
      <c r="N8" s="79">
        <v>3661011322</v>
      </c>
      <c r="O8" s="79">
        <v>1294254721.28</v>
      </c>
      <c r="P8" s="79">
        <v>225759051.93000001</v>
      </c>
      <c r="Q8" s="79">
        <v>161538392.90000001</v>
      </c>
      <c r="R8" s="79">
        <v>362637000</v>
      </c>
      <c r="S8" s="79">
        <v>241934055.47</v>
      </c>
      <c r="T8" s="79">
        <v>357359098.30000001</v>
      </c>
      <c r="U8" s="79">
        <v>239188334.99000001</v>
      </c>
      <c r="V8" s="79"/>
      <c r="W8" s="79"/>
      <c r="X8" s="79"/>
      <c r="Y8" s="79"/>
      <c r="Z8" s="79"/>
      <c r="AA8" s="79">
        <f>N8+P8+R8+T8+V8+W8+X8+Y8</f>
        <v>4606766472.2299995</v>
      </c>
      <c r="AB8" s="79">
        <f t="shared" ref="AB8:AB71" si="0">O8+Q8+S8+U8+Z8</f>
        <v>1936915504.6400001</v>
      </c>
      <c r="AC8" s="79">
        <v>8756400</v>
      </c>
      <c r="AD8" s="79">
        <v>6297510.3799999999</v>
      </c>
      <c r="AE8" s="79"/>
      <c r="AF8" s="79">
        <f t="shared" ref="AF8:AF71" si="1">AA8-AB8+AC8-AD8+AE8</f>
        <v>2672309857.2099991</v>
      </c>
      <c r="AG8" s="80">
        <f t="shared" ref="AG8:AG71" si="2">AF8+L8</f>
        <v>2735399595.5899992</v>
      </c>
      <c r="AH8" s="79">
        <v>1154547</v>
      </c>
      <c r="AI8" s="79"/>
      <c r="AJ8" s="79">
        <f t="shared" ref="AJ8:AJ71" si="3">AH8+AI8</f>
        <v>1154547</v>
      </c>
      <c r="AK8" s="79">
        <v>1554289210.0999999</v>
      </c>
      <c r="AL8" s="79"/>
      <c r="AM8" s="79">
        <v>303239519.25</v>
      </c>
      <c r="AN8" s="79">
        <v>-216515789.12</v>
      </c>
      <c r="AO8" s="79">
        <f t="shared" ref="AO8:AO71" si="4">AM8+AN8</f>
        <v>86723730.129999995</v>
      </c>
      <c r="AP8" s="79">
        <v>1093232108.3599999</v>
      </c>
      <c r="AQ8" s="81"/>
      <c r="AR8" s="82">
        <f t="shared" ref="AR8:AR71" si="5">AK8+AL8+AO8+AP8+AQ8</f>
        <v>2734245048.5900002</v>
      </c>
      <c r="AS8" s="83">
        <f t="shared" ref="AS8:AS71" si="6">AR8+AJ8</f>
        <v>2735399595.5900002</v>
      </c>
      <c r="AT8" s="39"/>
      <c r="AU8" s="40"/>
      <c r="AV8" s="40">
        <v>2</v>
      </c>
      <c r="AW8" s="40">
        <f>AU8+2</f>
        <v>2</v>
      </c>
      <c r="AX8" s="40">
        <f t="shared" ref="AX8:CG8" si="7">AW8+1</f>
        <v>3</v>
      </c>
      <c r="AY8" s="40">
        <f t="shared" si="7"/>
        <v>4</v>
      </c>
      <c r="AZ8" s="41">
        <f t="shared" si="7"/>
        <v>5</v>
      </c>
      <c r="BA8" s="40">
        <f t="shared" si="7"/>
        <v>6</v>
      </c>
      <c r="BB8" s="42">
        <f t="shared" si="7"/>
        <v>7</v>
      </c>
      <c r="BC8" s="40">
        <f t="shared" si="7"/>
        <v>8</v>
      </c>
      <c r="BD8" s="40">
        <f t="shared" si="7"/>
        <v>9</v>
      </c>
      <c r="BE8" s="40">
        <f t="shared" si="7"/>
        <v>10</v>
      </c>
      <c r="BF8" s="40">
        <f t="shared" si="7"/>
        <v>11</v>
      </c>
      <c r="BG8" s="40">
        <f t="shared" si="7"/>
        <v>12</v>
      </c>
      <c r="BH8" s="40">
        <f t="shared" si="7"/>
        <v>13</v>
      </c>
      <c r="BI8" s="40">
        <f t="shared" si="7"/>
        <v>14</v>
      </c>
      <c r="BJ8" s="40">
        <f t="shared" si="7"/>
        <v>15</v>
      </c>
      <c r="BK8" s="40">
        <f t="shared" si="7"/>
        <v>16</v>
      </c>
      <c r="BL8" s="43">
        <f t="shared" si="7"/>
        <v>17</v>
      </c>
      <c r="BM8" s="40">
        <f t="shared" si="7"/>
        <v>18</v>
      </c>
      <c r="BN8" s="40">
        <f t="shared" si="7"/>
        <v>19</v>
      </c>
      <c r="BO8" s="40">
        <f t="shared" si="7"/>
        <v>20</v>
      </c>
      <c r="BP8" s="40">
        <f t="shared" si="7"/>
        <v>21</v>
      </c>
      <c r="BQ8" s="40">
        <f t="shared" si="7"/>
        <v>22</v>
      </c>
      <c r="BR8" s="40">
        <f t="shared" si="7"/>
        <v>23</v>
      </c>
      <c r="BS8" s="43">
        <f t="shared" si="7"/>
        <v>24</v>
      </c>
      <c r="BT8" s="44">
        <f t="shared" si="7"/>
        <v>25</v>
      </c>
      <c r="BU8" s="40">
        <f t="shared" si="7"/>
        <v>26</v>
      </c>
      <c r="BV8" s="40">
        <f t="shared" si="7"/>
        <v>27</v>
      </c>
      <c r="BW8" s="40">
        <f t="shared" si="7"/>
        <v>28</v>
      </c>
      <c r="BX8" s="40">
        <f t="shared" si="7"/>
        <v>29</v>
      </c>
      <c r="BY8" s="40">
        <f t="shared" si="7"/>
        <v>30</v>
      </c>
      <c r="BZ8" s="40">
        <f t="shared" si="7"/>
        <v>31</v>
      </c>
      <c r="CA8" s="40">
        <f t="shared" si="7"/>
        <v>32</v>
      </c>
      <c r="CB8" s="45">
        <v>33</v>
      </c>
      <c r="CC8" s="40">
        <v>34</v>
      </c>
      <c r="CD8" s="46">
        <v>35</v>
      </c>
      <c r="CE8" s="40">
        <f t="shared" si="7"/>
        <v>36</v>
      </c>
      <c r="CF8" s="40">
        <f t="shared" si="7"/>
        <v>37</v>
      </c>
      <c r="CG8" s="46">
        <f t="shared" si="7"/>
        <v>38</v>
      </c>
      <c r="CH8" s="47"/>
      <c r="CI8" s="39"/>
    </row>
    <row r="9" spans="1:87" s="48" customFormat="1" ht="11.25" customHeight="1" x14ac:dyDescent="0.2">
      <c r="A9" s="74">
        <v>2</v>
      </c>
      <c r="B9" s="75" t="s">
        <v>202</v>
      </c>
      <c r="C9" s="75" t="s">
        <v>92</v>
      </c>
      <c r="D9" s="76" t="s">
        <v>95</v>
      </c>
      <c r="E9" s="77">
        <v>9022945</v>
      </c>
      <c r="F9" s="78" t="s">
        <v>94</v>
      </c>
      <c r="G9" s="79"/>
      <c r="H9" s="79">
        <v>10000000</v>
      </c>
      <c r="I9" s="79">
        <v>643710</v>
      </c>
      <c r="J9" s="79">
        <v>29799874</v>
      </c>
      <c r="K9" s="79"/>
      <c r="L9" s="79">
        <f>SUM(G9:K9)</f>
        <v>40443584</v>
      </c>
      <c r="M9" s="79"/>
      <c r="N9" s="79"/>
      <c r="O9" s="79"/>
      <c r="P9" s="79">
        <v>98169801</v>
      </c>
      <c r="Q9" s="79">
        <v>55553281.359999999</v>
      </c>
      <c r="R9" s="79">
        <v>40000000</v>
      </c>
      <c r="S9" s="79">
        <v>11333333.220000001</v>
      </c>
      <c r="T9" s="79">
        <v>9518033</v>
      </c>
      <c r="U9" s="79">
        <v>6476142.3899999997</v>
      </c>
      <c r="V9" s="79"/>
      <c r="W9" s="79"/>
      <c r="X9" s="79"/>
      <c r="Y9" s="79"/>
      <c r="Z9" s="79"/>
      <c r="AA9" s="79">
        <f t="shared" ref="AA9:AA72" si="8">N9+P9+R9+T9+V9+W9+X9+Y9</f>
        <v>147687834</v>
      </c>
      <c r="AB9" s="79">
        <f t="shared" si="0"/>
        <v>73362756.969999999</v>
      </c>
      <c r="AC9" s="79">
        <v>580000</v>
      </c>
      <c r="AD9" s="79">
        <v>580000</v>
      </c>
      <c r="AE9" s="79"/>
      <c r="AF9" s="79">
        <f t="shared" si="1"/>
        <v>74325077.030000001</v>
      </c>
      <c r="AG9" s="80">
        <f t="shared" si="2"/>
        <v>114768661.03</v>
      </c>
      <c r="AH9" s="79">
        <v>11278300</v>
      </c>
      <c r="AI9" s="79"/>
      <c r="AJ9" s="79">
        <f t="shared" si="3"/>
        <v>11278300</v>
      </c>
      <c r="AK9" s="79">
        <v>52478314.789999999</v>
      </c>
      <c r="AL9" s="79"/>
      <c r="AM9" s="79">
        <v>57433681.75</v>
      </c>
      <c r="AN9" s="79">
        <v>-6421635.5099999998</v>
      </c>
      <c r="AO9" s="79">
        <f t="shared" si="4"/>
        <v>51012046.240000002</v>
      </c>
      <c r="AP9" s="79"/>
      <c r="AQ9" s="81"/>
      <c r="AR9" s="82">
        <f t="shared" si="5"/>
        <v>103490361.03</v>
      </c>
      <c r="AS9" s="83">
        <f t="shared" si="6"/>
        <v>114768661.03</v>
      </c>
      <c r="AT9" s="52">
        <f>AS9-AG9</f>
        <v>0</v>
      </c>
      <c r="AU9" s="49">
        <v>1</v>
      </c>
      <c r="AV9" s="50" t="s">
        <v>37</v>
      </c>
      <c r="AW9" s="50" t="s">
        <v>82</v>
      </c>
      <c r="AX9" s="50" t="s">
        <v>83</v>
      </c>
      <c r="AY9" s="51" t="s">
        <v>84</v>
      </c>
      <c r="AZ9" s="53">
        <v>956619068.69000006</v>
      </c>
      <c r="BA9" s="53"/>
      <c r="BB9" s="53"/>
      <c r="BC9" s="53"/>
      <c r="BD9" s="53"/>
      <c r="BE9" s="53">
        <v>13000000</v>
      </c>
      <c r="BF9" s="53"/>
      <c r="BG9" s="53">
        <v>23541000</v>
      </c>
      <c r="BH9" s="53"/>
      <c r="BI9" s="53">
        <v>37805818</v>
      </c>
      <c r="BJ9" s="53"/>
      <c r="BK9" s="53"/>
      <c r="BL9" s="54">
        <f>SUM(BA9:BK9)</f>
        <v>74346818</v>
      </c>
      <c r="BM9" s="53"/>
      <c r="BN9" s="53">
        <v>40000</v>
      </c>
      <c r="BO9" s="53"/>
      <c r="BP9" s="53"/>
      <c r="BQ9" s="53">
        <v>2277636</v>
      </c>
      <c r="BR9" s="53"/>
      <c r="BS9" s="54">
        <f>SUM(BM9:BR9)</f>
        <v>2317636</v>
      </c>
      <c r="BT9" s="55">
        <f>BS9+BL9</f>
        <v>76664454</v>
      </c>
      <c r="BU9" s="53"/>
      <c r="BV9" s="53"/>
      <c r="BW9" s="53"/>
      <c r="BX9" s="53"/>
      <c r="BY9" s="53"/>
      <c r="BZ9" s="53"/>
      <c r="CA9" s="53"/>
      <c r="CB9" s="54">
        <f>SUM(BV9:CA9)</f>
        <v>0</v>
      </c>
      <c r="CC9" s="53"/>
      <c r="CD9" s="56">
        <f>CB9+CC9</f>
        <v>0</v>
      </c>
      <c r="CE9" s="53"/>
      <c r="CF9" s="53"/>
      <c r="CG9" s="56">
        <f>AZ9+BT9-CD9</f>
        <v>1033283522.6900001</v>
      </c>
      <c r="CH9" s="57">
        <f>+AA9+AC9</f>
        <v>148267834</v>
      </c>
      <c r="CI9" s="58">
        <f>+CG9-CH9</f>
        <v>885015688.69000006</v>
      </c>
    </row>
    <row r="10" spans="1:87" s="48" customFormat="1" ht="11.25" customHeight="1" x14ac:dyDescent="0.2">
      <c r="A10" s="74">
        <v>3</v>
      </c>
      <c r="B10" s="75" t="s">
        <v>202</v>
      </c>
      <c r="C10" s="75" t="s">
        <v>92</v>
      </c>
      <c r="D10" s="76" t="s">
        <v>96</v>
      </c>
      <c r="E10" s="77">
        <v>4270592</v>
      </c>
      <c r="F10" s="78" t="s">
        <v>94</v>
      </c>
      <c r="G10" s="79"/>
      <c r="H10" s="79"/>
      <c r="I10" s="79"/>
      <c r="J10" s="79">
        <v>591137</v>
      </c>
      <c r="K10" s="79"/>
      <c r="L10" s="79">
        <f t="shared" ref="L10:L71" si="9">SUM(G10:K10)</f>
        <v>591137</v>
      </c>
      <c r="M10" s="79"/>
      <c r="N10" s="79"/>
      <c r="O10" s="79"/>
      <c r="P10" s="79">
        <v>11590801</v>
      </c>
      <c r="Q10" s="79">
        <v>5862753.96</v>
      </c>
      <c r="R10" s="79"/>
      <c r="S10" s="79"/>
      <c r="T10" s="79">
        <v>3999498</v>
      </c>
      <c r="U10" s="79">
        <v>3586941</v>
      </c>
      <c r="V10" s="79"/>
      <c r="W10" s="79"/>
      <c r="X10" s="79"/>
      <c r="Y10" s="79"/>
      <c r="Z10" s="79"/>
      <c r="AA10" s="79">
        <f t="shared" si="8"/>
        <v>15590299</v>
      </c>
      <c r="AB10" s="79">
        <f t="shared" si="0"/>
        <v>9449694.9600000009</v>
      </c>
      <c r="AC10" s="79">
        <v>800000</v>
      </c>
      <c r="AD10" s="79">
        <v>200000.04</v>
      </c>
      <c r="AE10" s="79"/>
      <c r="AF10" s="79">
        <f t="shared" si="1"/>
        <v>6740603.9999999991</v>
      </c>
      <c r="AG10" s="80">
        <f t="shared" si="2"/>
        <v>7331740.9999999991</v>
      </c>
      <c r="AH10" s="79"/>
      <c r="AI10" s="79"/>
      <c r="AJ10" s="79">
        <f t="shared" si="3"/>
        <v>0</v>
      </c>
      <c r="AK10" s="79"/>
      <c r="AL10" s="79"/>
      <c r="AM10" s="79">
        <v>4045500</v>
      </c>
      <c r="AN10" s="79">
        <v>3286241</v>
      </c>
      <c r="AO10" s="79">
        <f t="shared" si="4"/>
        <v>7331741</v>
      </c>
      <c r="AP10" s="79"/>
      <c r="AQ10" s="81"/>
      <c r="AR10" s="82">
        <f t="shared" si="5"/>
        <v>7331741</v>
      </c>
      <c r="AS10" s="84">
        <f t="shared" si="6"/>
        <v>7331741</v>
      </c>
      <c r="AT10" s="52">
        <f t="shared" ref="AT10:AT25" si="10">AS10-AG10</f>
        <v>0</v>
      </c>
      <c r="AU10" s="49">
        <v>2</v>
      </c>
      <c r="AV10" s="50" t="s">
        <v>37</v>
      </c>
      <c r="AW10" s="50" t="s">
        <v>82</v>
      </c>
      <c r="AX10" s="50" t="s">
        <v>39</v>
      </c>
      <c r="AY10" s="51" t="s">
        <v>84</v>
      </c>
      <c r="AZ10" s="53">
        <v>2874800</v>
      </c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4">
        <f t="shared" ref="BL10:BL25" si="11">SUM(BA10:BK10)</f>
        <v>0</v>
      </c>
      <c r="BM10" s="53"/>
      <c r="BN10" s="53"/>
      <c r="BO10" s="53"/>
      <c r="BP10" s="53"/>
      <c r="BQ10" s="53"/>
      <c r="BR10" s="53"/>
      <c r="BS10" s="54">
        <f t="shared" ref="BS10:BS25" si="12">SUM(BM10:BR10)</f>
        <v>0</v>
      </c>
      <c r="BT10" s="55">
        <f t="shared" ref="BT10:BT25" si="13">BS10+BL10</f>
        <v>0</v>
      </c>
      <c r="BU10" s="53"/>
      <c r="BV10" s="53"/>
      <c r="BW10" s="53"/>
      <c r="BX10" s="53"/>
      <c r="BY10" s="53"/>
      <c r="BZ10" s="53"/>
      <c r="CA10" s="53"/>
      <c r="CB10" s="54">
        <f t="shared" ref="CB10:CB25" si="14">SUM(BV10:CA10)</f>
        <v>0</v>
      </c>
      <c r="CC10" s="53"/>
      <c r="CD10" s="56">
        <f t="shared" ref="CD10:CD25" si="15">CB10+CC10</f>
        <v>0</v>
      </c>
      <c r="CE10" s="53"/>
      <c r="CF10" s="53"/>
      <c r="CG10" s="56">
        <f t="shared" ref="CG10:CG25" si="16">AZ10+BT10-CD10</f>
        <v>2874800</v>
      </c>
      <c r="CH10" s="57">
        <f t="shared" ref="CH10:CH25" si="17">+AA10+AC10</f>
        <v>16390299</v>
      </c>
      <c r="CI10" s="58">
        <f t="shared" ref="CI10:CI25" si="18">+CG10-CH10</f>
        <v>-13515499</v>
      </c>
    </row>
    <row r="11" spans="1:87" s="48" customFormat="1" ht="11.25" customHeight="1" x14ac:dyDescent="0.2">
      <c r="A11" s="74">
        <v>4</v>
      </c>
      <c r="B11" s="75" t="s">
        <v>202</v>
      </c>
      <c r="C11" s="75" t="s">
        <v>92</v>
      </c>
      <c r="D11" s="76" t="s">
        <v>97</v>
      </c>
      <c r="E11" s="77">
        <v>4264231</v>
      </c>
      <c r="F11" s="78" t="s">
        <v>94</v>
      </c>
      <c r="G11" s="79"/>
      <c r="H11" s="79"/>
      <c r="I11" s="79"/>
      <c r="J11" s="79">
        <v>774400</v>
      </c>
      <c r="K11" s="79"/>
      <c r="L11" s="79">
        <f t="shared" si="9"/>
        <v>774400</v>
      </c>
      <c r="M11" s="79"/>
      <c r="N11" s="79"/>
      <c r="O11" s="79"/>
      <c r="P11" s="79">
        <v>7250803</v>
      </c>
      <c r="Q11" s="79">
        <v>4663824.7300000004</v>
      </c>
      <c r="R11" s="79"/>
      <c r="S11" s="79"/>
      <c r="T11" s="79">
        <v>2197413</v>
      </c>
      <c r="U11" s="79">
        <v>1112386.26</v>
      </c>
      <c r="V11" s="79"/>
      <c r="W11" s="79"/>
      <c r="X11" s="79"/>
      <c r="Y11" s="79"/>
      <c r="Z11" s="79"/>
      <c r="AA11" s="79">
        <f t="shared" si="8"/>
        <v>9448216</v>
      </c>
      <c r="AB11" s="79">
        <f t="shared" si="0"/>
        <v>5776210.9900000002</v>
      </c>
      <c r="AC11" s="79">
        <v>550000</v>
      </c>
      <c r="AD11" s="79">
        <v>275000.09999999998</v>
      </c>
      <c r="AE11" s="79"/>
      <c r="AF11" s="79">
        <f t="shared" si="1"/>
        <v>3947004.9099999997</v>
      </c>
      <c r="AG11" s="80">
        <f t="shared" si="2"/>
        <v>4721404.91</v>
      </c>
      <c r="AH11" s="79"/>
      <c r="AI11" s="79"/>
      <c r="AJ11" s="79">
        <f t="shared" si="3"/>
        <v>0</v>
      </c>
      <c r="AK11" s="79"/>
      <c r="AL11" s="79"/>
      <c r="AM11" s="79">
        <v>5931237.2999999998</v>
      </c>
      <c r="AN11" s="79">
        <v>-1209832.3899999999</v>
      </c>
      <c r="AO11" s="79">
        <f t="shared" si="4"/>
        <v>4721404.91</v>
      </c>
      <c r="AP11" s="79"/>
      <c r="AQ11" s="81"/>
      <c r="AR11" s="82">
        <f t="shared" si="5"/>
        <v>4721404.91</v>
      </c>
      <c r="AS11" s="84">
        <f t="shared" si="6"/>
        <v>4721404.91</v>
      </c>
      <c r="AT11" s="52">
        <f t="shared" si="10"/>
        <v>0</v>
      </c>
      <c r="AU11" s="49">
        <v>3</v>
      </c>
      <c r="AV11" s="50" t="s">
        <v>37</v>
      </c>
      <c r="AW11" s="50" t="s">
        <v>82</v>
      </c>
      <c r="AX11" s="50" t="s">
        <v>85</v>
      </c>
      <c r="AY11" s="51" t="s">
        <v>84</v>
      </c>
      <c r="AZ11" s="53">
        <v>21206000</v>
      </c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4">
        <f t="shared" si="11"/>
        <v>0</v>
      </c>
      <c r="BM11" s="53"/>
      <c r="BN11" s="53"/>
      <c r="BO11" s="53"/>
      <c r="BP11" s="53"/>
      <c r="BQ11" s="53"/>
      <c r="BR11" s="53"/>
      <c r="BS11" s="54">
        <f t="shared" si="12"/>
        <v>0</v>
      </c>
      <c r="BT11" s="55">
        <f t="shared" si="13"/>
        <v>0</v>
      </c>
      <c r="BU11" s="53"/>
      <c r="BV11" s="53"/>
      <c r="BW11" s="53"/>
      <c r="BX11" s="53"/>
      <c r="BY11" s="53"/>
      <c r="BZ11" s="53"/>
      <c r="CA11" s="53"/>
      <c r="CB11" s="54">
        <f t="shared" si="14"/>
        <v>0</v>
      </c>
      <c r="CC11" s="53"/>
      <c r="CD11" s="56">
        <f t="shared" si="15"/>
        <v>0</v>
      </c>
      <c r="CE11" s="53"/>
      <c r="CF11" s="53"/>
      <c r="CG11" s="56">
        <f t="shared" si="16"/>
        <v>21206000</v>
      </c>
      <c r="CH11" s="57">
        <f t="shared" si="17"/>
        <v>9998216</v>
      </c>
      <c r="CI11" s="58">
        <f t="shared" si="18"/>
        <v>11207784</v>
      </c>
    </row>
    <row r="12" spans="1:87" s="48" customFormat="1" ht="11.25" customHeight="1" x14ac:dyDescent="0.2">
      <c r="A12" s="74">
        <v>5</v>
      </c>
      <c r="B12" s="75" t="s">
        <v>202</v>
      </c>
      <c r="C12" s="75" t="s">
        <v>92</v>
      </c>
      <c r="D12" s="76" t="s">
        <v>98</v>
      </c>
      <c r="E12" s="77">
        <v>9025391</v>
      </c>
      <c r="F12" s="78" t="s">
        <v>94</v>
      </c>
      <c r="G12" s="79"/>
      <c r="H12" s="79"/>
      <c r="I12" s="79">
        <v>18432</v>
      </c>
      <c r="J12" s="79">
        <v>1266000</v>
      </c>
      <c r="K12" s="79"/>
      <c r="L12" s="79">
        <f t="shared" si="9"/>
        <v>1284432</v>
      </c>
      <c r="M12" s="79"/>
      <c r="N12" s="79"/>
      <c r="O12" s="79"/>
      <c r="P12" s="79">
        <v>29396214.829999998</v>
      </c>
      <c r="Q12" s="79">
        <v>22126360.109999999</v>
      </c>
      <c r="R12" s="79">
        <v>40000000</v>
      </c>
      <c r="S12" s="79">
        <v>17777777.920000002</v>
      </c>
      <c r="T12" s="79">
        <v>11721825</v>
      </c>
      <c r="U12" s="79">
        <v>6533389.5700000003</v>
      </c>
      <c r="V12" s="79"/>
      <c r="W12" s="79"/>
      <c r="X12" s="79"/>
      <c r="Y12" s="79"/>
      <c r="Z12" s="79"/>
      <c r="AA12" s="79">
        <f t="shared" si="8"/>
        <v>81118039.829999998</v>
      </c>
      <c r="AB12" s="79">
        <f t="shared" si="0"/>
        <v>46437527.600000001</v>
      </c>
      <c r="AC12" s="79">
        <v>455000</v>
      </c>
      <c r="AD12" s="79">
        <v>455000</v>
      </c>
      <c r="AE12" s="79"/>
      <c r="AF12" s="79">
        <f t="shared" si="1"/>
        <v>34680512.229999997</v>
      </c>
      <c r="AG12" s="80">
        <f t="shared" si="2"/>
        <v>35964944.229999997</v>
      </c>
      <c r="AH12" s="79"/>
      <c r="AI12" s="79"/>
      <c r="AJ12" s="79">
        <f t="shared" si="3"/>
        <v>0</v>
      </c>
      <c r="AK12" s="79">
        <v>19960955</v>
      </c>
      <c r="AL12" s="79"/>
      <c r="AM12" s="79">
        <v>26186063.469999999</v>
      </c>
      <c r="AN12" s="79">
        <v>-10526217.24</v>
      </c>
      <c r="AO12" s="79">
        <f t="shared" si="4"/>
        <v>15659846.229999999</v>
      </c>
      <c r="AP12" s="79">
        <v>344143</v>
      </c>
      <c r="AQ12" s="81"/>
      <c r="AR12" s="82">
        <f t="shared" si="5"/>
        <v>35964944.229999997</v>
      </c>
      <c r="AS12" s="84">
        <f t="shared" si="6"/>
        <v>35964944.229999997</v>
      </c>
      <c r="AT12" s="52">
        <f t="shared" si="10"/>
        <v>0</v>
      </c>
      <c r="AU12" s="49">
        <v>4</v>
      </c>
      <c r="AV12" s="50" t="s">
        <v>37</v>
      </c>
      <c r="AW12" s="50" t="s">
        <v>82</v>
      </c>
      <c r="AX12" s="50" t="s">
        <v>40</v>
      </c>
      <c r="AY12" s="51" t="s">
        <v>84</v>
      </c>
      <c r="AZ12" s="53">
        <v>410251623.60000002</v>
      </c>
      <c r="BA12" s="53"/>
      <c r="BB12" s="53"/>
      <c r="BC12" s="53"/>
      <c r="BD12" s="53"/>
      <c r="BE12" s="53"/>
      <c r="BF12" s="53"/>
      <c r="BG12" s="53"/>
      <c r="BH12" s="53"/>
      <c r="BI12" s="53"/>
      <c r="BJ12" s="53">
        <v>704000</v>
      </c>
      <c r="BK12" s="53">
        <f>18198300+1783200</f>
        <v>19981500</v>
      </c>
      <c r="BL12" s="54">
        <f t="shared" si="11"/>
        <v>20685500</v>
      </c>
      <c r="BM12" s="53">
        <v>39000</v>
      </c>
      <c r="BN12" s="53"/>
      <c r="BO12" s="53"/>
      <c r="BP12" s="53"/>
      <c r="BQ12" s="53"/>
      <c r="BR12" s="53"/>
      <c r="BS12" s="54">
        <f t="shared" si="12"/>
        <v>39000</v>
      </c>
      <c r="BT12" s="55">
        <f t="shared" si="13"/>
        <v>20724500</v>
      </c>
      <c r="BU12" s="53"/>
      <c r="BV12" s="53"/>
      <c r="BW12" s="53">
        <v>2277636</v>
      </c>
      <c r="BX12" s="53"/>
      <c r="BY12" s="53"/>
      <c r="BZ12" s="53"/>
      <c r="CA12" s="53"/>
      <c r="CB12" s="54">
        <f t="shared" si="14"/>
        <v>2277636</v>
      </c>
      <c r="CC12" s="53"/>
      <c r="CD12" s="56">
        <f t="shared" si="15"/>
        <v>2277636</v>
      </c>
      <c r="CE12" s="53"/>
      <c r="CF12" s="53"/>
      <c r="CG12" s="56">
        <f t="shared" si="16"/>
        <v>428698487.60000002</v>
      </c>
      <c r="CH12" s="57">
        <f t="shared" si="17"/>
        <v>81573039.829999998</v>
      </c>
      <c r="CI12" s="58">
        <f t="shared" si="18"/>
        <v>347125447.77000004</v>
      </c>
    </row>
    <row r="13" spans="1:87" s="48" customFormat="1" ht="11.25" customHeight="1" x14ac:dyDescent="0.2">
      <c r="A13" s="74">
        <v>6</v>
      </c>
      <c r="B13" s="75" t="s">
        <v>202</v>
      </c>
      <c r="C13" s="75" t="s">
        <v>92</v>
      </c>
      <c r="D13" s="76" t="s">
        <v>99</v>
      </c>
      <c r="E13" s="77">
        <v>4264193</v>
      </c>
      <c r="F13" s="78" t="s">
        <v>94</v>
      </c>
      <c r="G13" s="79"/>
      <c r="H13" s="79"/>
      <c r="I13" s="79"/>
      <c r="J13" s="79">
        <v>70000</v>
      </c>
      <c r="K13" s="79"/>
      <c r="L13" s="79">
        <f>SUM(G13:K13)</f>
        <v>70000</v>
      </c>
      <c r="M13" s="79"/>
      <c r="N13" s="79"/>
      <c r="O13" s="79"/>
      <c r="P13" s="79">
        <v>15888521</v>
      </c>
      <c r="Q13" s="79">
        <v>9932619.8399999999</v>
      </c>
      <c r="R13" s="79"/>
      <c r="S13" s="79"/>
      <c r="T13" s="79">
        <v>9716800</v>
      </c>
      <c r="U13" s="79">
        <v>3581214.05</v>
      </c>
      <c r="V13" s="79"/>
      <c r="W13" s="79"/>
      <c r="X13" s="79"/>
      <c r="Y13" s="79"/>
      <c r="Z13" s="79"/>
      <c r="AA13" s="79">
        <f t="shared" si="8"/>
        <v>25605321</v>
      </c>
      <c r="AB13" s="79">
        <f t="shared" si="0"/>
        <v>13513833.890000001</v>
      </c>
      <c r="AC13" s="79">
        <v>550000</v>
      </c>
      <c r="AD13" s="79">
        <v>355208.23</v>
      </c>
      <c r="AE13" s="79"/>
      <c r="AF13" s="79">
        <f t="shared" si="1"/>
        <v>12286278.879999999</v>
      </c>
      <c r="AG13" s="80">
        <f t="shared" si="2"/>
        <v>12356278.879999999</v>
      </c>
      <c r="AH13" s="79"/>
      <c r="AI13" s="79"/>
      <c r="AJ13" s="79">
        <f t="shared" si="3"/>
        <v>0</v>
      </c>
      <c r="AK13" s="79">
        <v>14101027.460000001</v>
      </c>
      <c r="AL13" s="79"/>
      <c r="AM13" s="79">
        <v>-2517262.64</v>
      </c>
      <c r="AN13" s="79">
        <v>772514.06</v>
      </c>
      <c r="AO13" s="79">
        <f t="shared" si="4"/>
        <v>-1744748.58</v>
      </c>
      <c r="AP13" s="79"/>
      <c r="AQ13" s="81"/>
      <c r="AR13" s="82">
        <f t="shared" si="5"/>
        <v>12356278.880000001</v>
      </c>
      <c r="AS13" s="83">
        <f t="shared" si="6"/>
        <v>12356278.880000001</v>
      </c>
      <c r="AT13" s="52">
        <f t="shared" si="10"/>
        <v>0</v>
      </c>
      <c r="AU13" s="49">
        <v>5</v>
      </c>
      <c r="AV13" s="50" t="s">
        <v>37</v>
      </c>
      <c r="AW13" s="50" t="s">
        <v>82</v>
      </c>
      <c r="AX13" s="50" t="s">
        <v>38</v>
      </c>
      <c r="AY13" s="51" t="s">
        <v>84</v>
      </c>
      <c r="AZ13" s="53">
        <v>72921055.870000005</v>
      </c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>
        <v>13639310</v>
      </c>
      <c r="BL13" s="54">
        <f t="shared" si="11"/>
        <v>13639310</v>
      </c>
      <c r="BM13" s="53"/>
      <c r="BN13" s="53"/>
      <c r="BO13" s="53"/>
      <c r="BP13" s="53"/>
      <c r="BQ13" s="53"/>
      <c r="BR13" s="53"/>
      <c r="BS13" s="54">
        <f t="shared" si="12"/>
        <v>0</v>
      </c>
      <c r="BT13" s="55">
        <f t="shared" si="13"/>
        <v>13639310</v>
      </c>
      <c r="BU13" s="53"/>
      <c r="BV13" s="53"/>
      <c r="BW13" s="53"/>
      <c r="BX13" s="53"/>
      <c r="BY13" s="53"/>
      <c r="BZ13" s="53"/>
      <c r="CA13" s="53"/>
      <c r="CB13" s="54">
        <f t="shared" si="14"/>
        <v>0</v>
      </c>
      <c r="CC13" s="53"/>
      <c r="CD13" s="56">
        <f t="shared" si="15"/>
        <v>0</v>
      </c>
      <c r="CE13" s="53"/>
      <c r="CF13" s="53"/>
      <c r="CG13" s="56">
        <f t="shared" si="16"/>
        <v>86560365.870000005</v>
      </c>
      <c r="CH13" s="57">
        <f t="shared" si="17"/>
        <v>26155321</v>
      </c>
      <c r="CI13" s="58">
        <f t="shared" si="18"/>
        <v>60405044.870000005</v>
      </c>
    </row>
    <row r="14" spans="1:87" s="48" customFormat="1" ht="11.25" customHeight="1" x14ac:dyDescent="0.2">
      <c r="A14" s="74">
        <v>7</v>
      </c>
      <c r="B14" s="75" t="s">
        <v>202</v>
      </c>
      <c r="C14" s="75" t="s">
        <v>92</v>
      </c>
      <c r="D14" s="76" t="s">
        <v>100</v>
      </c>
      <c r="E14" s="77">
        <v>9023399</v>
      </c>
      <c r="F14" s="78" t="s">
        <v>94</v>
      </c>
      <c r="G14" s="79"/>
      <c r="H14" s="79"/>
      <c r="I14" s="79">
        <v>377427.58</v>
      </c>
      <c r="J14" s="79">
        <v>2953850</v>
      </c>
      <c r="K14" s="79"/>
      <c r="L14" s="79">
        <f t="shared" si="9"/>
        <v>3331277.58</v>
      </c>
      <c r="M14" s="79"/>
      <c r="N14" s="79"/>
      <c r="O14" s="79"/>
      <c r="P14" s="79">
        <v>9202151</v>
      </c>
      <c r="Q14" s="79">
        <v>6072329.4699999997</v>
      </c>
      <c r="R14" s="79">
        <v>10000000</v>
      </c>
      <c r="S14" s="79">
        <v>5972222.2699999996</v>
      </c>
      <c r="T14" s="79">
        <v>21485695</v>
      </c>
      <c r="U14" s="79">
        <v>6414630.7599999998</v>
      </c>
      <c r="V14" s="79"/>
      <c r="W14" s="79"/>
      <c r="X14" s="79"/>
      <c r="Y14" s="79"/>
      <c r="Z14" s="79"/>
      <c r="AA14" s="79">
        <f t="shared" si="8"/>
        <v>40687846</v>
      </c>
      <c r="AB14" s="79">
        <f t="shared" si="0"/>
        <v>18459182.5</v>
      </c>
      <c r="AC14" s="79">
        <v>650000</v>
      </c>
      <c r="AD14" s="79">
        <v>396875</v>
      </c>
      <c r="AE14" s="79"/>
      <c r="AF14" s="79">
        <f t="shared" si="1"/>
        <v>22481788.5</v>
      </c>
      <c r="AG14" s="80">
        <f t="shared" si="2"/>
        <v>25813066.079999998</v>
      </c>
      <c r="AH14" s="79"/>
      <c r="AI14" s="79"/>
      <c r="AJ14" s="79">
        <f t="shared" si="3"/>
        <v>0</v>
      </c>
      <c r="AK14" s="79">
        <v>14784909</v>
      </c>
      <c r="AL14" s="79"/>
      <c r="AM14" s="79">
        <v>13604825.039999999</v>
      </c>
      <c r="AN14" s="79">
        <v>-2767114.42</v>
      </c>
      <c r="AO14" s="79">
        <f t="shared" si="4"/>
        <v>10837710.619999999</v>
      </c>
      <c r="AP14" s="79">
        <v>190446.46</v>
      </c>
      <c r="AQ14" s="81"/>
      <c r="AR14" s="82">
        <f t="shared" si="5"/>
        <v>25813066.079999998</v>
      </c>
      <c r="AS14" s="84">
        <f t="shared" si="6"/>
        <v>25813066.079999998</v>
      </c>
      <c r="AT14" s="52">
        <f t="shared" si="10"/>
        <v>0</v>
      </c>
      <c r="AU14" s="49">
        <v>6</v>
      </c>
      <c r="AV14" s="50" t="s">
        <v>37</v>
      </c>
      <c r="AW14" s="50" t="s">
        <v>82</v>
      </c>
      <c r="AX14" s="50" t="s">
        <v>86</v>
      </c>
      <c r="AY14" s="51" t="s">
        <v>84</v>
      </c>
      <c r="AZ14" s="53">
        <v>401768080.04000002</v>
      </c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>
        <v>179000</v>
      </c>
      <c r="BL14" s="54">
        <f t="shared" si="11"/>
        <v>179000</v>
      </c>
      <c r="BM14" s="53"/>
      <c r="BN14" s="53"/>
      <c r="BO14" s="53"/>
      <c r="BP14" s="53">
        <v>9816753</v>
      </c>
      <c r="BQ14" s="53"/>
      <c r="BR14" s="53"/>
      <c r="BS14" s="54">
        <f t="shared" si="12"/>
        <v>9816753</v>
      </c>
      <c r="BT14" s="55">
        <f t="shared" si="13"/>
        <v>9995753</v>
      </c>
      <c r="BU14" s="53"/>
      <c r="BV14" s="53"/>
      <c r="BW14" s="53"/>
      <c r="BX14" s="53"/>
      <c r="BY14" s="53"/>
      <c r="BZ14" s="53"/>
      <c r="CA14" s="53"/>
      <c r="CB14" s="54">
        <f t="shared" si="14"/>
        <v>0</v>
      </c>
      <c r="CC14" s="53"/>
      <c r="CD14" s="56">
        <f t="shared" si="15"/>
        <v>0</v>
      </c>
      <c r="CE14" s="53"/>
      <c r="CF14" s="53"/>
      <c r="CG14" s="56">
        <f t="shared" si="16"/>
        <v>411763833.04000002</v>
      </c>
      <c r="CH14" s="57">
        <f t="shared" si="17"/>
        <v>41337846</v>
      </c>
      <c r="CI14" s="58">
        <f t="shared" si="18"/>
        <v>370425987.04000002</v>
      </c>
    </row>
    <row r="15" spans="1:87" s="48" customFormat="1" ht="11.25" customHeight="1" x14ac:dyDescent="0.2">
      <c r="A15" s="74">
        <v>8</v>
      </c>
      <c r="B15" s="75" t="s">
        <v>202</v>
      </c>
      <c r="C15" s="75" t="s">
        <v>92</v>
      </c>
      <c r="D15" s="76" t="s">
        <v>101</v>
      </c>
      <c r="E15" s="77">
        <v>9022465</v>
      </c>
      <c r="F15" s="78" t="s">
        <v>94</v>
      </c>
      <c r="G15" s="79"/>
      <c r="H15" s="79"/>
      <c r="I15" s="79">
        <v>4297486.4000000004</v>
      </c>
      <c r="J15" s="79">
        <v>129592968.97</v>
      </c>
      <c r="K15" s="79"/>
      <c r="L15" s="79">
        <f t="shared" ref="L15" si="19">SUM(G15:K15)</f>
        <v>133890455.37</v>
      </c>
      <c r="M15" s="79"/>
      <c r="N15" s="79">
        <v>1727563563</v>
      </c>
      <c r="O15" s="79">
        <v>725332777.75</v>
      </c>
      <c r="P15" s="79">
        <v>193727828.16999999</v>
      </c>
      <c r="Q15" s="79">
        <v>129129648.38</v>
      </c>
      <c r="R15" s="79">
        <v>96686150</v>
      </c>
      <c r="S15" s="79">
        <v>53698640.640000001</v>
      </c>
      <c r="T15" s="79">
        <v>73317340.930000007</v>
      </c>
      <c r="U15" s="79">
        <v>34541937.07</v>
      </c>
      <c r="V15" s="79"/>
      <c r="W15" s="79"/>
      <c r="X15" s="79">
        <v>5469504</v>
      </c>
      <c r="Y15" s="79">
        <v>578554992</v>
      </c>
      <c r="Z15" s="79">
        <v>114501364.17</v>
      </c>
      <c r="AA15" s="79">
        <f t="shared" si="8"/>
        <v>2675319378.1000004</v>
      </c>
      <c r="AB15" s="79">
        <f t="shared" si="0"/>
        <v>1057204368.01</v>
      </c>
      <c r="AC15" s="79">
        <f>928500+3797500</f>
        <v>4726000</v>
      </c>
      <c r="AD15" s="79">
        <f>851125.11+2834583.26</f>
        <v>3685708.3699999996</v>
      </c>
      <c r="AE15" s="79"/>
      <c r="AF15" s="79">
        <f t="shared" si="1"/>
        <v>1619155301.7200005</v>
      </c>
      <c r="AG15" s="80">
        <f t="shared" si="2"/>
        <v>1753045757.0900006</v>
      </c>
      <c r="AH15" s="79">
        <v>22050000</v>
      </c>
      <c r="AI15" s="79"/>
      <c r="AJ15" s="79">
        <f t="shared" si="3"/>
        <v>22050000</v>
      </c>
      <c r="AK15" s="79">
        <v>1131175487.0699999</v>
      </c>
      <c r="AL15" s="79"/>
      <c r="AM15" s="79">
        <v>60193462.409999996</v>
      </c>
      <c r="AN15" s="79">
        <v>-97047942.599999994</v>
      </c>
      <c r="AO15" s="79">
        <f t="shared" si="4"/>
        <v>-36854480.189999998</v>
      </c>
      <c r="AP15" s="79">
        <v>636674750.21000004</v>
      </c>
      <c r="AQ15" s="81"/>
      <c r="AR15" s="82">
        <f t="shared" si="5"/>
        <v>1730995757.0899999</v>
      </c>
      <c r="AS15" s="83">
        <f t="shared" si="6"/>
        <v>1753045757.0899999</v>
      </c>
      <c r="AT15" s="52">
        <f t="shared" si="10"/>
        <v>0</v>
      </c>
      <c r="AU15" s="49">
        <v>7</v>
      </c>
      <c r="AV15" s="50" t="s">
        <v>37</v>
      </c>
      <c r="AW15" s="50" t="s">
        <v>82</v>
      </c>
      <c r="AX15" s="50" t="s">
        <v>87</v>
      </c>
      <c r="AY15" s="51" t="s">
        <v>84</v>
      </c>
      <c r="AZ15" s="53">
        <v>250425057.84999999</v>
      </c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4">
        <f t="shared" si="11"/>
        <v>0</v>
      </c>
      <c r="BM15" s="53"/>
      <c r="BN15" s="53"/>
      <c r="BO15" s="53"/>
      <c r="BP15" s="53"/>
      <c r="BQ15" s="53"/>
      <c r="BR15" s="53"/>
      <c r="BS15" s="54">
        <f t="shared" si="12"/>
        <v>0</v>
      </c>
      <c r="BT15" s="55">
        <f t="shared" si="13"/>
        <v>0</v>
      </c>
      <c r="BU15" s="53"/>
      <c r="BV15" s="53"/>
      <c r="BW15" s="53"/>
      <c r="BX15" s="53">
        <v>3960329</v>
      </c>
      <c r="BY15" s="53"/>
      <c r="BZ15" s="53"/>
      <c r="CA15" s="53"/>
      <c r="CB15" s="54">
        <f t="shared" si="14"/>
        <v>3960329</v>
      </c>
      <c r="CC15" s="53"/>
      <c r="CD15" s="56">
        <f t="shared" si="15"/>
        <v>3960329</v>
      </c>
      <c r="CE15" s="53"/>
      <c r="CF15" s="53"/>
      <c r="CG15" s="56">
        <f t="shared" si="16"/>
        <v>246464728.84999999</v>
      </c>
      <c r="CH15" s="57">
        <f t="shared" si="17"/>
        <v>2680045378.1000004</v>
      </c>
      <c r="CI15" s="58">
        <f t="shared" si="18"/>
        <v>-2433580649.2500005</v>
      </c>
    </row>
    <row r="16" spans="1:87" s="48" customFormat="1" ht="11.25" customHeight="1" x14ac:dyDescent="0.2">
      <c r="A16" s="74">
        <v>9</v>
      </c>
      <c r="B16" s="75" t="s">
        <v>202</v>
      </c>
      <c r="C16" s="75" t="s">
        <v>92</v>
      </c>
      <c r="D16" s="76" t="s">
        <v>102</v>
      </c>
      <c r="E16" s="77">
        <v>9024638</v>
      </c>
      <c r="F16" s="78" t="s">
        <v>94</v>
      </c>
      <c r="G16" s="79"/>
      <c r="H16" s="79"/>
      <c r="I16" s="79"/>
      <c r="J16" s="79">
        <v>1455469</v>
      </c>
      <c r="K16" s="79"/>
      <c r="L16" s="79">
        <f t="shared" si="9"/>
        <v>1455469</v>
      </c>
      <c r="M16" s="79"/>
      <c r="N16" s="79"/>
      <c r="O16" s="79"/>
      <c r="P16" s="79">
        <v>9659500</v>
      </c>
      <c r="Q16" s="79">
        <v>3405319.69</v>
      </c>
      <c r="R16" s="79"/>
      <c r="S16" s="79"/>
      <c r="T16" s="79">
        <v>7479714</v>
      </c>
      <c r="U16" s="79">
        <v>2481623.41</v>
      </c>
      <c r="V16" s="79"/>
      <c r="W16" s="79"/>
      <c r="X16" s="79"/>
      <c r="Y16" s="79"/>
      <c r="Z16" s="79"/>
      <c r="AA16" s="79">
        <f t="shared" si="8"/>
        <v>17139214</v>
      </c>
      <c r="AB16" s="79">
        <f t="shared" si="0"/>
        <v>5886943.0999999996</v>
      </c>
      <c r="AC16" s="79">
        <v>200000</v>
      </c>
      <c r="AD16" s="79">
        <v>200000</v>
      </c>
      <c r="AE16" s="79"/>
      <c r="AF16" s="79">
        <f t="shared" si="1"/>
        <v>11252270.9</v>
      </c>
      <c r="AG16" s="80">
        <f t="shared" si="2"/>
        <v>12707739.9</v>
      </c>
      <c r="AH16" s="79">
        <v>4219800</v>
      </c>
      <c r="AI16" s="79"/>
      <c r="AJ16" s="79">
        <f t="shared" si="3"/>
        <v>4219800</v>
      </c>
      <c r="AK16" s="79">
        <v>9118486</v>
      </c>
      <c r="AL16" s="79"/>
      <c r="AM16" s="79">
        <v>6268450.3300000001</v>
      </c>
      <c r="AN16" s="79">
        <v>-7147757.2599999998</v>
      </c>
      <c r="AO16" s="79">
        <f t="shared" si="4"/>
        <v>-879306.9299999997</v>
      </c>
      <c r="AP16" s="79">
        <v>248760.83</v>
      </c>
      <c r="AQ16" s="81"/>
      <c r="AR16" s="82">
        <f t="shared" si="5"/>
        <v>8487939.9000000004</v>
      </c>
      <c r="AS16" s="84">
        <f t="shared" si="6"/>
        <v>12707739.9</v>
      </c>
      <c r="AT16" s="52">
        <f t="shared" si="10"/>
        <v>0</v>
      </c>
      <c r="AU16" s="49">
        <v>8</v>
      </c>
      <c r="AV16" s="50" t="s">
        <v>37</v>
      </c>
      <c r="AW16" s="50" t="s">
        <v>88</v>
      </c>
      <c r="AX16" s="50" t="s">
        <v>83</v>
      </c>
      <c r="AY16" s="51" t="s">
        <v>84</v>
      </c>
      <c r="AZ16" s="53">
        <v>401629170.74000001</v>
      </c>
      <c r="BA16" s="53">
        <v>224840</v>
      </c>
      <c r="BB16" s="59"/>
      <c r="BC16" s="53"/>
      <c r="BD16" s="53"/>
      <c r="BE16" s="53"/>
      <c r="BF16" s="53"/>
      <c r="BG16" s="53"/>
      <c r="BH16" s="53"/>
      <c r="BI16" s="53"/>
      <c r="BJ16" s="53"/>
      <c r="BK16" s="53"/>
      <c r="BL16" s="54">
        <f t="shared" si="11"/>
        <v>224840</v>
      </c>
      <c r="BM16" s="53"/>
      <c r="BN16" s="53"/>
      <c r="BO16" s="53"/>
      <c r="BP16" s="53"/>
      <c r="BQ16" s="53"/>
      <c r="BR16" s="53"/>
      <c r="BS16" s="54">
        <f t="shared" si="12"/>
        <v>0</v>
      </c>
      <c r="BT16" s="55">
        <f t="shared" si="13"/>
        <v>224840</v>
      </c>
      <c r="BU16" s="53"/>
      <c r="BV16" s="53"/>
      <c r="BW16" s="53"/>
      <c r="BX16" s="53"/>
      <c r="BY16" s="53"/>
      <c r="BZ16" s="53"/>
      <c r="CA16" s="53"/>
      <c r="CB16" s="54">
        <f t="shared" si="14"/>
        <v>0</v>
      </c>
      <c r="CC16" s="53"/>
      <c r="CD16" s="56">
        <f t="shared" si="15"/>
        <v>0</v>
      </c>
      <c r="CE16" s="53"/>
      <c r="CF16" s="53"/>
      <c r="CG16" s="56">
        <f t="shared" si="16"/>
        <v>401854010.74000001</v>
      </c>
      <c r="CH16" s="57">
        <f t="shared" si="17"/>
        <v>17339214</v>
      </c>
      <c r="CI16" s="58">
        <f t="shared" si="18"/>
        <v>384514796.74000001</v>
      </c>
    </row>
    <row r="17" spans="1:87" s="48" customFormat="1" ht="11.25" customHeight="1" x14ac:dyDescent="0.2">
      <c r="A17" s="74">
        <v>10</v>
      </c>
      <c r="B17" s="75" t="s">
        <v>202</v>
      </c>
      <c r="C17" s="75" t="s">
        <v>92</v>
      </c>
      <c r="D17" s="76" t="s">
        <v>103</v>
      </c>
      <c r="E17" s="77">
        <v>9024212</v>
      </c>
      <c r="F17" s="78" t="s">
        <v>94</v>
      </c>
      <c r="G17" s="79"/>
      <c r="H17" s="79"/>
      <c r="I17" s="79">
        <v>1225736</v>
      </c>
      <c r="J17" s="79">
        <v>49797054</v>
      </c>
      <c r="K17" s="79"/>
      <c r="L17" s="79">
        <f t="shared" si="9"/>
        <v>51022790</v>
      </c>
      <c r="M17" s="79"/>
      <c r="N17" s="79">
        <v>2124184936</v>
      </c>
      <c r="O17" s="79">
        <v>634681969.30999994</v>
      </c>
      <c r="P17" s="79">
        <v>100992075.40000001</v>
      </c>
      <c r="Q17" s="79">
        <v>67098179.689999998</v>
      </c>
      <c r="R17" s="79">
        <v>173965800</v>
      </c>
      <c r="S17" s="79">
        <v>126629966.73999999</v>
      </c>
      <c r="T17" s="79">
        <v>76463630.769999996</v>
      </c>
      <c r="U17" s="79">
        <v>29621810.559999999</v>
      </c>
      <c r="V17" s="79"/>
      <c r="W17" s="79"/>
      <c r="X17" s="79"/>
      <c r="Y17" s="79">
        <v>68129060.819999993</v>
      </c>
      <c r="Z17" s="79">
        <v>13604129.16</v>
      </c>
      <c r="AA17" s="79">
        <f t="shared" si="8"/>
        <v>2543735502.9900002</v>
      </c>
      <c r="AB17" s="79">
        <f t="shared" si="0"/>
        <v>871636055.45999992</v>
      </c>
      <c r="AC17" s="79">
        <v>1300000</v>
      </c>
      <c r="AD17" s="79">
        <v>712082.98</v>
      </c>
      <c r="AE17" s="79"/>
      <c r="AF17" s="79">
        <f t="shared" si="1"/>
        <v>1672687364.5500002</v>
      </c>
      <c r="AG17" s="80">
        <f t="shared" si="2"/>
        <v>1723710154.5500002</v>
      </c>
      <c r="AH17" s="79">
        <v>4821171</v>
      </c>
      <c r="AI17" s="79"/>
      <c r="AJ17" s="79">
        <f t="shared" si="3"/>
        <v>4821171</v>
      </c>
      <c r="AK17" s="79">
        <v>1161417055.1700001</v>
      </c>
      <c r="AL17" s="79"/>
      <c r="AM17" s="79">
        <v>559251788.83000004</v>
      </c>
      <c r="AN17" s="79">
        <v>-140743174.28</v>
      </c>
      <c r="AO17" s="79">
        <f t="shared" si="4"/>
        <v>418508614.55000007</v>
      </c>
      <c r="AP17" s="79">
        <v>138963313.83000001</v>
      </c>
      <c r="AQ17" s="81"/>
      <c r="AR17" s="82">
        <f t="shared" si="5"/>
        <v>1718888983.5500002</v>
      </c>
      <c r="AS17" s="84">
        <f t="shared" si="6"/>
        <v>1723710154.5500002</v>
      </c>
      <c r="AT17" s="52">
        <f t="shared" si="10"/>
        <v>0</v>
      </c>
      <c r="AU17" s="49">
        <v>9</v>
      </c>
      <c r="AV17" s="50" t="s">
        <v>37</v>
      </c>
      <c r="AW17" s="50" t="s">
        <v>88</v>
      </c>
      <c r="AX17" s="50" t="s">
        <v>39</v>
      </c>
      <c r="AY17" s="51" t="s">
        <v>84</v>
      </c>
      <c r="AZ17" s="53">
        <v>16088785.6</v>
      </c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4">
        <f t="shared" si="11"/>
        <v>0</v>
      </c>
      <c r="BM17" s="53"/>
      <c r="BN17" s="53"/>
      <c r="BO17" s="53"/>
      <c r="BP17" s="53"/>
      <c r="BQ17" s="53"/>
      <c r="BR17" s="53"/>
      <c r="BS17" s="54">
        <f t="shared" si="12"/>
        <v>0</v>
      </c>
      <c r="BT17" s="55">
        <f t="shared" si="13"/>
        <v>0</v>
      </c>
      <c r="BU17" s="53"/>
      <c r="BV17" s="53"/>
      <c r="BW17" s="53"/>
      <c r="BX17" s="53"/>
      <c r="BY17" s="53"/>
      <c r="BZ17" s="53"/>
      <c r="CA17" s="53"/>
      <c r="CB17" s="54">
        <f t="shared" si="14"/>
        <v>0</v>
      </c>
      <c r="CC17" s="53"/>
      <c r="CD17" s="56">
        <f t="shared" si="15"/>
        <v>0</v>
      </c>
      <c r="CE17" s="53"/>
      <c r="CF17" s="53"/>
      <c r="CG17" s="56">
        <f t="shared" si="16"/>
        <v>16088785.6</v>
      </c>
      <c r="CH17" s="57">
        <f t="shared" si="17"/>
        <v>2545035502.9900002</v>
      </c>
      <c r="CI17" s="58">
        <f t="shared" si="18"/>
        <v>-2528946717.3900003</v>
      </c>
    </row>
    <row r="18" spans="1:87" s="48" customFormat="1" ht="11.25" customHeight="1" x14ac:dyDescent="0.2">
      <c r="A18" s="74">
        <v>11</v>
      </c>
      <c r="B18" s="75" t="s">
        <v>202</v>
      </c>
      <c r="C18" s="75" t="s">
        <v>92</v>
      </c>
      <c r="D18" s="76" t="s">
        <v>104</v>
      </c>
      <c r="E18" s="85">
        <v>4259602</v>
      </c>
      <c r="F18" s="78" t="s">
        <v>94</v>
      </c>
      <c r="G18" s="79"/>
      <c r="H18" s="79"/>
      <c r="I18" s="79"/>
      <c r="J18" s="79">
        <v>1048621.3500000001</v>
      </c>
      <c r="K18" s="79"/>
      <c r="L18" s="79">
        <f t="shared" si="9"/>
        <v>1048621.3500000001</v>
      </c>
      <c r="M18" s="79"/>
      <c r="N18" s="79">
        <v>9488850</v>
      </c>
      <c r="O18" s="79">
        <v>894915.84</v>
      </c>
      <c r="P18" s="79">
        <v>11635989.43</v>
      </c>
      <c r="Q18" s="79">
        <v>2115539.25</v>
      </c>
      <c r="R18" s="79">
        <v>1698000</v>
      </c>
      <c r="S18" s="79">
        <v>188666.64</v>
      </c>
      <c r="T18" s="79">
        <v>369900</v>
      </c>
      <c r="U18" s="79">
        <v>77062.5</v>
      </c>
      <c r="V18" s="79"/>
      <c r="W18" s="79"/>
      <c r="X18" s="79"/>
      <c r="Y18" s="79"/>
      <c r="Z18" s="79"/>
      <c r="AA18" s="79">
        <f t="shared" si="8"/>
        <v>23192739.43</v>
      </c>
      <c r="AB18" s="79">
        <f t="shared" si="0"/>
        <v>3276184.23</v>
      </c>
      <c r="AC18" s="79"/>
      <c r="AD18" s="79"/>
      <c r="AE18" s="79"/>
      <c r="AF18" s="79">
        <f t="shared" si="1"/>
        <v>19916555.199999999</v>
      </c>
      <c r="AG18" s="80">
        <f t="shared" si="2"/>
        <v>20965176.550000001</v>
      </c>
      <c r="AH18" s="79">
        <v>3496400</v>
      </c>
      <c r="AI18" s="79"/>
      <c r="AJ18" s="79">
        <f t="shared" si="3"/>
        <v>3496400</v>
      </c>
      <c r="AK18" s="79"/>
      <c r="AL18" s="79"/>
      <c r="AM18" s="79">
        <v>15988222.449999999</v>
      </c>
      <c r="AN18" s="79">
        <v>1480554.1</v>
      </c>
      <c r="AO18" s="79">
        <f t="shared" si="4"/>
        <v>17468776.550000001</v>
      </c>
      <c r="AP18" s="79"/>
      <c r="AQ18" s="81"/>
      <c r="AR18" s="82">
        <f t="shared" si="5"/>
        <v>17468776.550000001</v>
      </c>
      <c r="AS18" s="84">
        <f t="shared" si="6"/>
        <v>20965176.550000001</v>
      </c>
      <c r="AT18" s="52">
        <f t="shared" si="10"/>
        <v>0</v>
      </c>
      <c r="AU18" s="49">
        <v>10</v>
      </c>
      <c r="AV18" s="50" t="s">
        <v>37</v>
      </c>
      <c r="AW18" s="50" t="s">
        <v>88</v>
      </c>
      <c r="AX18" s="50" t="s">
        <v>85</v>
      </c>
      <c r="AY18" s="51" t="s">
        <v>84</v>
      </c>
      <c r="AZ18" s="53">
        <v>13651600</v>
      </c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4">
        <f t="shared" si="11"/>
        <v>0</v>
      </c>
      <c r="BM18" s="53"/>
      <c r="BN18" s="53"/>
      <c r="BO18" s="53"/>
      <c r="BP18" s="53"/>
      <c r="BQ18" s="53"/>
      <c r="BR18" s="53"/>
      <c r="BS18" s="54">
        <f t="shared" si="12"/>
        <v>0</v>
      </c>
      <c r="BT18" s="55">
        <f t="shared" si="13"/>
        <v>0</v>
      </c>
      <c r="BU18" s="53"/>
      <c r="BV18" s="53"/>
      <c r="BW18" s="53"/>
      <c r="BX18" s="53"/>
      <c r="BY18" s="53"/>
      <c r="BZ18" s="53"/>
      <c r="CA18" s="53"/>
      <c r="CB18" s="54">
        <f t="shared" si="14"/>
        <v>0</v>
      </c>
      <c r="CC18" s="53"/>
      <c r="CD18" s="56">
        <f t="shared" si="15"/>
        <v>0</v>
      </c>
      <c r="CE18" s="53"/>
      <c r="CF18" s="53"/>
      <c r="CG18" s="56">
        <f t="shared" si="16"/>
        <v>13651600</v>
      </c>
      <c r="CH18" s="57">
        <f t="shared" si="17"/>
        <v>23192739.43</v>
      </c>
      <c r="CI18" s="58">
        <f t="shared" si="18"/>
        <v>-9541139.4299999997</v>
      </c>
    </row>
    <row r="19" spans="1:87" s="48" customFormat="1" ht="11.25" customHeight="1" x14ac:dyDescent="0.2">
      <c r="A19" s="74">
        <v>12</v>
      </c>
      <c r="B19" s="75" t="s">
        <v>202</v>
      </c>
      <c r="C19" s="75" t="s">
        <v>92</v>
      </c>
      <c r="D19" s="76" t="s">
        <v>105</v>
      </c>
      <c r="E19" s="85">
        <v>9025197</v>
      </c>
      <c r="F19" s="78" t="s">
        <v>94</v>
      </c>
      <c r="G19" s="79"/>
      <c r="H19" s="79"/>
      <c r="I19" s="79"/>
      <c r="J19" s="79">
        <v>2504199</v>
      </c>
      <c r="K19" s="79"/>
      <c r="L19" s="79">
        <f t="shared" si="9"/>
        <v>2504199</v>
      </c>
      <c r="M19" s="79"/>
      <c r="N19" s="79"/>
      <c r="O19" s="79"/>
      <c r="P19" s="79">
        <v>2227220</v>
      </c>
      <c r="Q19" s="79">
        <v>1699540.72</v>
      </c>
      <c r="R19" s="79">
        <v>29984000</v>
      </c>
      <c r="S19" s="79">
        <v>6663111.04</v>
      </c>
      <c r="T19" s="79">
        <v>5901914</v>
      </c>
      <c r="U19" s="79">
        <v>3172416.52</v>
      </c>
      <c r="V19" s="79"/>
      <c r="W19" s="79"/>
      <c r="X19" s="79"/>
      <c r="Y19" s="79">
        <v>90000</v>
      </c>
      <c r="Z19" s="79"/>
      <c r="AA19" s="79">
        <f t="shared" si="8"/>
        <v>38203134</v>
      </c>
      <c r="AB19" s="79">
        <f t="shared" si="0"/>
        <v>11535068.279999999</v>
      </c>
      <c r="AC19" s="79"/>
      <c r="AD19" s="79"/>
      <c r="AE19" s="79"/>
      <c r="AF19" s="79">
        <f t="shared" si="1"/>
        <v>26668065.719999999</v>
      </c>
      <c r="AG19" s="80">
        <f t="shared" si="2"/>
        <v>29172264.719999999</v>
      </c>
      <c r="AH19" s="79">
        <v>2909280</v>
      </c>
      <c r="AI19" s="79"/>
      <c r="AJ19" s="79">
        <f t="shared" si="3"/>
        <v>2909280</v>
      </c>
      <c r="AK19" s="79">
        <v>8735000</v>
      </c>
      <c r="AL19" s="79"/>
      <c r="AM19" s="79">
        <v>25589293.41</v>
      </c>
      <c r="AN19" s="79">
        <v>-8597857.1899999995</v>
      </c>
      <c r="AO19" s="79">
        <f t="shared" si="4"/>
        <v>16991436.219999999</v>
      </c>
      <c r="AP19" s="79">
        <v>536548.5</v>
      </c>
      <c r="AQ19" s="81"/>
      <c r="AR19" s="82">
        <f t="shared" si="5"/>
        <v>26262984.719999999</v>
      </c>
      <c r="AS19" s="84">
        <f t="shared" si="6"/>
        <v>29172264.719999999</v>
      </c>
      <c r="AT19" s="52">
        <f t="shared" si="10"/>
        <v>0</v>
      </c>
      <c r="AU19" s="49">
        <v>11</v>
      </c>
      <c r="AV19" s="50" t="s">
        <v>37</v>
      </c>
      <c r="AW19" s="50" t="s">
        <v>88</v>
      </c>
      <c r="AX19" s="50" t="s">
        <v>40</v>
      </c>
      <c r="AY19" s="51" t="s">
        <v>84</v>
      </c>
      <c r="AZ19" s="53">
        <v>278855497.31</v>
      </c>
      <c r="BA19" s="53"/>
      <c r="BB19" s="53">
        <v>210000000</v>
      </c>
      <c r="BC19" s="53"/>
      <c r="BD19" s="53">
        <v>22504960</v>
      </c>
      <c r="BE19" s="53"/>
      <c r="BF19" s="53"/>
      <c r="BG19" s="53"/>
      <c r="BH19" s="53"/>
      <c r="BI19" s="53"/>
      <c r="BJ19" s="53"/>
      <c r="BK19" s="53"/>
      <c r="BL19" s="54">
        <f t="shared" si="11"/>
        <v>232504960</v>
      </c>
      <c r="BM19" s="53">
        <v>50000</v>
      </c>
      <c r="BN19" s="53"/>
      <c r="BO19" s="53"/>
      <c r="BP19" s="53"/>
      <c r="BQ19" s="53"/>
      <c r="BR19" s="53"/>
      <c r="BS19" s="54">
        <f t="shared" si="12"/>
        <v>50000</v>
      </c>
      <c r="BT19" s="55">
        <f t="shared" si="13"/>
        <v>232554960</v>
      </c>
      <c r="BU19" s="53"/>
      <c r="BV19" s="53"/>
      <c r="BW19" s="53"/>
      <c r="BX19" s="53"/>
      <c r="BY19" s="53"/>
      <c r="BZ19" s="53"/>
      <c r="CA19" s="53"/>
      <c r="CB19" s="54">
        <f t="shared" si="14"/>
        <v>0</v>
      </c>
      <c r="CC19" s="53"/>
      <c r="CD19" s="56">
        <f t="shared" si="15"/>
        <v>0</v>
      </c>
      <c r="CE19" s="53"/>
      <c r="CF19" s="53"/>
      <c r="CG19" s="56">
        <f t="shared" si="16"/>
        <v>511410457.31</v>
      </c>
      <c r="CH19" s="57">
        <f t="shared" si="17"/>
        <v>38203134</v>
      </c>
      <c r="CI19" s="58">
        <f t="shared" si="18"/>
        <v>473207323.31</v>
      </c>
    </row>
    <row r="20" spans="1:87" s="48" customFormat="1" ht="11.25" customHeight="1" x14ac:dyDescent="0.2">
      <c r="A20" s="74">
        <v>13</v>
      </c>
      <c r="B20" s="75" t="s">
        <v>202</v>
      </c>
      <c r="C20" s="75" t="s">
        <v>92</v>
      </c>
      <c r="D20" s="76" t="s">
        <v>106</v>
      </c>
      <c r="E20" s="85">
        <v>9022597</v>
      </c>
      <c r="F20" s="78" t="s">
        <v>94</v>
      </c>
      <c r="G20" s="79"/>
      <c r="H20" s="79"/>
      <c r="I20" s="79">
        <v>948808.45</v>
      </c>
      <c r="J20" s="79">
        <v>41564426.5</v>
      </c>
      <c r="K20" s="79"/>
      <c r="L20" s="79">
        <f t="shared" si="9"/>
        <v>42513234.950000003</v>
      </c>
      <c r="M20" s="79"/>
      <c r="N20" s="79">
        <v>1131701180</v>
      </c>
      <c r="O20" s="79">
        <v>805485480.53999996</v>
      </c>
      <c r="P20" s="79">
        <v>50296720.899999999</v>
      </c>
      <c r="Q20" s="79">
        <v>42736626.369999997</v>
      </c>
      <c r="R20" s="79">
        <v>204754500</v>
      </c>
      <c r="S20" s="79">
        <v>109316930.84100001</v>
      </c>
      <c r="T20" s="79">
        <v>39886477.920000002</v>
      </c>
      <c r="U20" s="79">
        <v>23365439.550000001</v>
      </c>
      <c r="V20" s="79"/>
      <c r="W20" s="79"/>
      <c r="X20" s="79">
        <v>148145728</v>
      </c>
      <c r="Y20" s="79">
        <f>704224128+360059789</f>
        <v>1064283917</v>
      </c>
      <c r="Z20" s="79">
        <f>100221314.33+105448215.92</f>
        <v>205669530.25</v>
      </c>
      <c r="AA20" s="79">
        <f t="shared" si="8"/>
        <v>2639068523.8200002</v>
      </c>
      <c r="AB20" s="79">
        <f t="shared" si="0"/>
        <v>1186574007.5509999</v>
      </c>
      <c r="AC20" s="79">
        <f>2198500+88800000</f>
        <v>90998500</v>
      </c>
      <c r="AD20" s="79">
        <f>1961937.78+5919999.96</f>
        <v>7881937.7400000002</v>
      </c>
      <c r="AE20" s="79"/>
      <c r="AF20" s="79">
        <f t="shared" si="1"/>
        <v>1535611078.5290003</v>
      </c>
      <c r="AG20" s="80">
        <f t="shared" si="2"/>
        <v>1578124313.4790003</v>
      </c>
      <c r="AH20" s="79">
        <v>14948125</v>
      </c>
      <c r="AI20" s="79"/>
      <c r="AJ20" s="79">
        <f t="shared" si="3"/>
        <v>14948125</v>
      </c>
      <c r="AK20" s="79">
        <v>968601783.53999996</v>
      </c>
      <c r="AL20" s="79"/>
      <c r="AM20" s="79">
        <v>468656336.17000002</v>
      </c>
      <c r="AN20" s="79">
        <v>-143688053.66</v>
      </c>
      <c r="AO20" s="79">
        <f t="shared" si="4"/>
        <v>324968282.50999999</v>
      </c>
      <c r="AP20" s="79">
        <v>269606122.43000001</v>
      </c>
      <c r="AQ20" s="81"/>
      <c r="AR20" s="82">
        <f t="shared" si="5"/>
        <v>1563176188.48</v>
      </c>
      <c r="AS20" s="84">
        <f t="shared" si="6"/>
        <v>1578124313.48</v>
      </c>
      <c r="AT20" s="52">
        <f t="shared" si="10"/>
        <v>9.9968910217285156E-4</v>
      </c>
      <c r="AU20" s="49">
        <v>12</v>
      </c>
      <c r="AV20" s="50" t="s">
        <v>37</v>
      </c>
      <c r="AW20" s="50" t="s">
        <v>88</v>
      </c>
      <c r="AX20" s="50" t="s">
        <v>38</v>
      </c>
      <c r="AY20" s="51" t="s">
        <v>84</v>
      </c>
      <c r="AZ20" s="53">
        <v>60409932</v>
      </c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4">
        <f t="shared" si="11"/>
        <v>0</v>
      </c>
      <c r="BM20" s="53"/>
      <c r="BN20" s="53"/>
      <c r="BO20" s="53"/>
      <c r="BP20" s="53"/>
      <c r="BQ20" s="53"/>
      <c r="BR20" s="53"/>
      <c r="BS20" s="54">
        <f t="shared" si="12"/>
        <v>0</v>
      </c>
      <c r="BT20" s="55">
        <f t="shared" si="13"/>
        <v>0</v>
      </c>
      <c r="BU20" s="53"/>
      <c r="BV20" s="53"/>
      <c r="BW20" s="53"/>
      <c r="BX20" s="53"/>
      <c r="BY20" s="53"/>
      <c r="BZ20" s="53"/>
      <c r="CA20" s="53"/>
      <c r="CB20" s="54">
        <f t="shared" si="14"/>
        <v>0</v>
      </c>
      <c r="CC20" s="53"/>
      <c r="CD20" s="56">
        <f t="shared" si="15"/>
        <v>0</v>
      </c>
      <c r="CE20" s="53"/>
      <c r="CF20" s="53"/>
      <c r="CG20" s="56">
        <f t="shared" si="16"/>
        <v>60409932</v>
      </c>
      <c r="CH20" s="57">
        <f t="shared" si="17"/>
        <v>2730067023.8200002</v>
      </c>
      <c r="CI20" s="58">
        <f t="shared" si="18"/>
        <v>-2669657091.8200002</v>
      </c>
    </row>
    <row r="21" spans="1:87" s="13" customFormat="1" ht="11.25" customHeight="1" x14ac:dyDescent="0.2">
      <c r="A21" s="74">
        <v>14</v>
      </c>
      <c r="B21" s="75" t="s">
        <v>202</v>
      </c>
      <c r="C21" s="75" t="s">
        <v>92</v>
      </c>
      <c r="D21" s="76" t="s">
        <v>107</v>
      </c>
      <c r="E21" s="85">
        <v>9022759</v>
      </c>
      <c r="F21" s="78" t="s">
        <v>94</v>
      </c>
      <c r="G21" s="79"/>
      <c r="H21" s="79"/>
      <c r="I21" s="79"/>
      <c r="J21" s="79">
        <v>3233195</v>
      </c>
      <c r="K21" s="79"/>
      <c r="L21" s="79">
        <f t="shared" si="9"/>
        <v>3233195</v>
      </c>
      <c r="M21" s="79"/>
      <c r="N21" s="79"/>
      <c r="O21" s="79"/>
      <c r="P21" s="79">
        <v>8903953</v>
      </c>
      <c r="Q21" s="79">
        <v>5938352.79</v>
      </c>
      <c r="R21" s="79">
        <v>10000000</v>
      </c>
      <c r="S21" s="79">
        <v>7833333.4900000002</v>
      </c>
      <c r="T21" s="79">
        <v>6894195.2000000002</v>
      </c>
      <c r="U21" s="79">
        <v>3949906.39</v>
      </c>
      <c r="V21" s="79"/>
      <c r="W21" s="79"/>
      <c r="X21" s="79"/>
      <c r="Y21" s="79"/>
      <c r="Z21" s="79"/>
      <c r="AA21" s="79">
        <f t="shared" si="8"/>
        <v>25798148.199999999</v>
      </c>
      <c r="AB21" s="79">
        <f t="shared" si="0"/>
        <v>17721592.670000002</v>
      </c>
      <c r="AC21" s="79">
        <v>200000</v>
      </c>
      <c r="AD21" s="79">
        <v>200000</v>
      </c>
      <c r="AE21" s="79"/>
      <c r="AF21" s="79">
        <f t="shared" si="1"/>
        <v>8076555.5299999975</v>
      </c>
      <c r="AG21" s="80">
        <f t="shared" si="2"/>
        <v>11309750.529999997</v>
      </c>
      <c r="AH21" s="79">
        <v>980000</v>
      </c>
      <c r="AI21" s="79"/>
      <c r="AJ21" s="79">
        <f t="shared" si="3"/>
        <v>980000</v>
      </c>
      <c r="AK21" s="79">
        <v>3736944</v>
      </c>
      <c r="AL21" s="79"/>
      <c r="AM21" s="79">
        <v>12039899.26</v>
      </c>
      <c r="AN21" s="79">
        <v>-4569523.3600000003</v>
      </c>
      <c r="AO21" s="79">
        <f t="shared" si="4"/>
        <v>7470375.8999999994</v>
      </c>
      <c r="AP21" s="79">
        <v>-877569.37</v>
      </c>
      <c r="AQ21" s="81"/>
      <c r="AR21" s="82">
        <f t="shared" si="5"/>
        <v>10329750.529999999</v>
      </c>
      <c r="AS21" s="84">
        <f t="shared" si="6"/>
        <v>11309750.529999999</v>
      </c>
      <c r="AT21" s="52">
        <f t="shared" si="10"/>
        <v>0</v>
      </c>
      <c r="AU21" s="49">
        <v>13</v>
      </c>
      <c r="AV21" s="50" t="s">
        <v>37</v>
      </c>
      <c r="AW21" s="50" t="s">
        <v>88</v>
      </c>
      <c r="AX21" s="50" t="s">
        <v>86</v>
      </c>
      <c r="AY21" s="51" t="s">
        <v>84</v>
      </c>
      <c r="AZ21" s="53">
        <v>50474623.299999997</v>
      </c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4">
        <f t="shared" si="11"/>
        <v>0</v>
      </c>
      <c r="BM21" s="53"/>
      <c r="BN21" s="53"/>
      <c r="BO21" s="53"/>
      <c r="BP21" s="53"/>
      <c r="BQ21" s="53"/>
      <c r="BR21" s="53"/>
      <c r="BS21" s="54">
        <f t="shared" si="12"/>
        <v>0</v>
      </c>
      <c r="BT21" s="55">
        <f t="shared" si="13"/>
        <v>0</v>
      </c>
      <c r="BU21" s="53"/>
      <c r="BV21" s="53"/>
      <c r="BW21" s="53"/>
      <c r="BX21" s="53"/>
      <c r="BY21" s="53"/>
      <c r="BZ21" s="53"/>
      <c r="CA21" s="53"/>
      <c r="CB21" s="54">
        <f t="shared" si="14"/>
        <v>0</v>
      </c>
      <c r="CC21" s="53"/>
      <c r="CD21" s="56">
        <f t="shared" si="15"/>
        <v>0</v>
      </c>
      <c r="CE21" s="53"/>
      <c r="CF21" s="53"/>
      <c r="CG21" s="56">
        <f t="shared" si="16"/>
        <v>50474623.299999997</v>
      </c>
      <c r="CH21" s="57">
        <f t="shared" si="17"/>
        <v>25998148.199999999</v>
      </c>
      <c r="CI21" s="58">
        <f t="shared" si="18"/>
        <v>24476475.099999998</v>
      </c>
    </row>
    <row r="22" spans="1:87" s="13" customFormat="1" ht="11.25" customHeight="1" x14ac:dyDescent="0.2">
      <c r="A22" s="74">
        <v>15</v>
      </c>
      <c r="B22" s="75" t="s">
        <v>202</v>
      </c>
      <c r="C22" s="75" t="s">
        <v>92</v>
      </c>
      <c r="D22" s="76" t="s">
        <v>108</v>
      </c>
      <c r="E22" s="85">
        <v>9022732</v>
      </c>
      <c r="F22" s="78" t="s">
        <v>94</v>
      </c>
      <c r="G22" s="79"/>
      <c r="H22" s="79">
        <v>24547000</v>
      </c>
      <c r="I22" s="79">
        <v>1223758</v>
      </c>
      <c r="J22" s="79">
        <v>68542275.560000002</v>
      </c>
      <c r="K22" s="79">
        <v>4000000</v>
      </c>
      <c r="L22" s="79">
        <f t="shared" si="9"/>
        <v>98313033.560000002</v>
      </c>
      <c r="M22" s="79"/>
      <c r="N22" s="79">
        <v>767602655</v>
      </c>
      <c r="O22" s="79">
        <v>482012705.56999999</v>
      </c>
      <c r="P22" s="79">
        <v>101852994.29000001</v>
      </c>
      <c r="Q22" s="79">
        <v>28627974.600000001</v>
      </c>
      <c r="R22" s="79">
        <v>87407000</v>
      </c>
      <c r="S22" s="79">
        <v>25137833.219999999</v>
      </c>
      <c r="T22" s="79">
        <v>34237068</v>
      </c>
      <c r="U22" s="79">
        <v>18295900.120000001</v>
      </c>
      <c r="V22" s="79"/>
      <c r="W22" s="79"/>
      <c r="X22" s="79">
        <v>23442080</v>
      </c>
      <c r="Y22" s="79">
        <v>340926983</v>
      </c>
      <c r="Z22" s="79">
        <v>91265514.090000004</v>
      </c>
      <c r="AA22" s="79">
        <f t="shared" si="8"/>
        <v>1355468780.29</v>
      </c>
      <c r="AB22" s="79">
        <f t="shared" si="0"/>
        <v>645339927.60000002</v>
      </c>
      <c r="AC22" s="79">
        <v>1500000</v>
      </c>
      <c r="AD22" s="79">
        <v>1327500.06</v>
      </c>
      <c r="AE22" s="79"/>
      <c r="AF22" s="79">
        <f>AA22-AB22+AC22-AD22+AE22</f>
        <v>710301352.63</v>
      </c>
      <c r="AG22" s="80">
        <f t="shared" si="2"/>
        <v>808614386.19000006</v>
      </c>
      <c r="AH22" s="79">
        <v>1220500</v>
      </c>
      <c r="AI22" s="79"/>
      <c r="AJ22" s="79">
        <f t="shared" si="3"/>
        <v>1220500</v>
      </c>
      <c r="AK22" s="79">
        <v>616162933.01999998</v>
      </c>
      <c r="AL22" s="79"/>
      <c r="AM22" s="79">
        <v>-28979551.18</v>
      </c>
      <c r="AN22" s="79">
        <v>5303640.4400000004</v>
      </c>
      <c r="AO22" s="79">
        <f t="shared" si="4"/>
        <v>-23675910.739999998</v>
      </c>
      <c r="AP22" s="79">
        <v>214906863.91</v>
      </c>
      <c r="AQ22" s="81"/>
      <c r="AR22" s="82">
        <f t="shared" si="5"/>
        <v>807393886.18999994</v>
      </c>
      <c r="AS22" s="84">
        <f t="shared" si="6"/>
        <v>808614386.18999994</v>
      </c>
      <c r="AT22" s="52">
        <f t="shared" si="10"/>
        <v>0</v>
      </c>
      <c r="AU22" s="49">
        <v>14</v>
      </c>
      <c r="AV22" s="50" t="s">
        <v>37</v>
      </c>
      <c r="AW22" s="50" t="s">
        <v>88</v>
      </c>
      <c r="AX22" s="50" t="s">
        <v>87</v>
      </c>
      <c r="AY22" s="51" t="s">
        <v>84</v>
      </c>
      <c r="AZ22" s="53">
        <v>452560075.39000005</v>
      </c>
      <c r="BA22" s="53"/>
      <c r="BB22" s="53">
        <v>1013500480</v>
      </c>
      <c r="BC22" s="53"/>
      <c r="BD22" s="53"/>
      <c r="BE22" s="53"/>
      <c r="BF22" s="53"/>
      <c r="BG22" s="53"/>
      <c r="BH22" s="53"/>
      <c r="BI22" s="53"/>
      <c r="BJ22" s="53"/>
      <c r="BK22" s="53"/>
      <c r="BL22" s="54">
        <f t="shared" si="11"/>
        <v>1013500480</v>
      </c>
      <c r="BM22" s="53"/>
      <c r="BN22" s="53"/>
      <c r="BO22" s="53"/>
      <c r="BP22" s="53"/>
      <c r="BQ22" s="53"/>
      <c r="BR22" s="53"/>
      <c r="BS22" s="54">
        <f t="shared" si="12"/>
        <v>0</v>
      </c>
      <c r="BT22" s="55">
        <f t="shared" si="13"/>
        <v>1013500480</v>
      </c>
      <c r="BU22" s="53"/>
      <c r="BV22" s="53"/>
      <c r="BW22" s="53"/>
      <c r="BX22" s="53"/>
      <c r="BY22" s="53">
        <v>354547000</v>
      </c>
      <c r="BZ22" s="53"/>
      <c r="CA22" s="53"/>
      <c r="CB22" s="54">
        <f t="shared" si="14"/>
        <v>354547000</v>
      </c>
      <c r="CC22" s="53"/>
      <c r="CD22" s="56">
        <f t="shared" si="15"/>
        <v>354547000</v>
      </c>
      <c r="CE22" s="53"/>
      <c r="CF22" s="53"/>
      <c r="CG22" s="56">
        <f t="shared" si="16"/>
        <v>1111513555.3900001</v>
      </c>
      <c r="CH22" s="57">
        <f t="shared" si="17"/>
        <v>1356968780.29</v>
      </c>
      <c r="CI22" s="58">
        <f t="shared" si="18"/>
        <v>-245455224.89999986</v>
      </c>
    </row>
    <row r="23" spans="1:87" s="13" customFormat="1" ht="11.25" customHeight="1" x14ac:dyDescent="0.2">
      <c r="A23" s="74">
        <v>16</v>
      </c>
      <c r="B23" s="75" t="s">
        <v>202</v>
      </c>
      <c r="C23" s="75" t="s">
        <v>92</v>
      </c>
      <c r="D23" s="76" t="s">
        <v>109</v>
      </c>
      <c r="E23" s="85">
        <v>9023941</v>
      </c>
      <c r="F23" s="78" t="s">
        <v>94</v>
      </c>
      <c r="G23" s="79"/>
      <c r="H23" s="79"/>
      <c r="I23" s="79">
        <v>11210500</v>
      </c>
      <c r="J23" s="79">
        <v>654869037</v>
      </c>
      <c r="K23" s="79"/>
      <c r="L23" s="79">
        <f t="shared" si="9"/>
        <v>666079537</v>
      </c>
      <c r="M23" s="79"/>
      <c r="N23" s="79">
        <v>714254280</v>
      </c>
      <c r="O23" s="79">
        <v>238651083.38999999</v>
      </c>
      <c r="P23" s="79">
        <v>54842807.299999997</v>
      </c>
      <c r="Q23" s="79">
        <v>35615185.310000002</v>
      </c>
      <c r="R23" s="79">
        <v>982824419.83000004</v>
      </c>
      <c r="S23" s="79">
        <v>550853738.71000004</v>
      </c>
      <c r="T23" s="79">
        <v>21152283</v>
      </c>
      <c r="U23" s="79">
        <v>15590754.189999999</v>
      </c>
      <c r="V23" s="79"/>
      <c r="W23" s="79"/>
      <c r="X23" s="79"/>
      <c r="Y23" s="79">
        <f>253961000+11785431774.5+925609446</f>
        <v>12965002220.5</v>
      </c>
      <c r="Z23" s="79">
        <f>74495226.46+1892837284.34+819075079.72</f>
        <v>2786407590.52</v>
      </c>
      <c r="AA23" s="79">
        <f t="shared" si="8"/>
        <v>14738076010.630001</v>
      </c>
      <c r="AB23" s="79">
        <f t="shared" si="0"/>
        <v>3627118352.1199999</v>
      </c>
      <c r="AC23" s="79">
        <v>1130000</v>
      </c>
      <c r="AD23" s="79">
        <v>659999.93999999994</v>
      </c>
      <c r="AE23" s="79"/>
      <c r="AF23" s="79">
        <f t="shared" si="1"/>
        <v>11111427658.570002</v>
      </c>
      <c r="AG23" s="80">
        <f t="shared" si="2"/>
        <v>11777507195.570002</v>
      </c>
      <c r="AH23" s="79">
        <v>2225097.3199999998</v>
      </c>
      <c r="AI23" s="79"/>
      <c r="AJ23" s="79">
        <f t="shared" si="3"/>
        <v>2225097.3199999998</v>
      </c>
      <c r="AK23" s="79">
        <v>4624806812.6400003</v>
      </c>
      <c r="AL23" s="79"/>
      <c r="AM23" s="79">
        <v>6980335040.46</v>
      </c>
      <c r="AN23" s="79">
        <v>-387001852.36000001</v>
      </c>
      <c r="AO23" s="79">
        <f t="shared" si="4"/>
        <v>6593333188.1000004</v>
      </c>
      <c r="AP23" s="79">
        <v>557142097.50999999</v>
      </c>
      <c r="AQ23" s="81"/>
      <c r="AR23" s="82">
        <f t="shared" si="5"/>
        <v>11775282098.250002</v>
      </c>
      <c r="AS23" s="83">
        <f t="shared" si="6"/>
        <v>11777507195.570002</v>
      </c>
      <c r="AT23" s="52">
        <f t="shared" si="10"/>
        <v>0</v>
      </c>
      <c r="AU23" s="49">
        <v>15</v>
      </c>
      <c r="AV23" s="50" t="s">
        <v>37</v>
      </c>
      <c r="AW23" s="50" t="s">
        <v>89</v>
      </c>
      <c r="AX23" s="50" t="s">
        <v>83</v>
      </c>
      <c r="AY23" s="51" t="s">
        <v>84</v>
      </c>
      <c r="AZ23" s="53">
        <v>676397662.97000003</v>
      </c>
      <c r="BA23" s="53"/>
      <c r="BB23" s="53"/>
      <c r="BC23" s="53"/>
      <c r="BD23" s="53"/>
      <c r="BE23" s="53">
        <f>27780700+5500000</f>
        <v>33280700</v>
      </c>
      <c r="BF23" s="53"/>
      <c r="BG23" s="53">
        <v>13900000</v>
      </c>
      <c r="BH23" s="53"/>
      <c r="BI23" s="53"/>
      <c r="BJ23" s="53"/>
      <c r="BK23" s="53"/>
      <c r="BL23" s="54">
        <f t="shared" si="11"/>
        <v>47180700</v>
      </c>
      <c r="BM23" s="53">
        <v>260000</v>
      </c>
      <c r="BN23" s="53"/>
      <c r="BO23" s="53"/>
      <c r="BP23" s="53"/>
      <c r="BQ23" s="53"/>
      <c r="BR23" s="53"/>
      <c r="BS23" s="54">
        <f t="shared" si="12"/>
        <v>260000</v>
      </c>
      <c r="BT23" s="55">
        <f t="shared" si="13"/>
        <v>47440700</v>
      </c>
      <c r="BU23" s="53"/>
      <c r="BV23" s="53"/>
      <c r="BW23" s="53"/>
      <c r="BX23" s="53"/>
      <c r="BY23" s="53"/>
      <c r="BZ23" s="53"/>
      <c r="CA23" s="53"/>
      <c r="CB23" s="54">
        <f t="shared" si="14"/>
        <v>0</v>
      </c>
      <c r="CC23" s="53"/>
      <c r="CD23" s="56">
        <f t="shared" si="15"/>
        <v>0</v>
      </c>
      <c r="CE23" s="53"/>
      <c r="CF23" s="53"/>
      <c r="CG23" s="56">
        <f t="shared" si="16"/>
        <v>723838362.97000003</v>
      </c>
      <c r="CH23" s="57">
        <f t="shared" si="17"/>
        <v>14739206010.630001</v>
      </c>
      <c r="CI23" s="58">
        <f t="shared" si="18"/>
        <v>-14015367647.660002</v>
      </c>
    </row>
    <row r="24" spans="1:87" s="13" customFormat="1" ht="11.25" customHeight="1" x14ac:dyDescent="0.2">
      <c r="A24" s="74">
        <v>17</v>
      </c>
      <c r="B24" s="75" t="s">
        <v>202</v>
      </c>
      <c r="C24" s="75" t="s">
        <v>92</v>
      </c>
      <c r="D24" s="76" t="s">
        <v>110</v>
      </c>
      <c r="E24" s="85">
        <v>9023003</v>
      </c>
      <c r="F24" s="78" t="s">
        <v>111</v>
      </c>
      <c r="G24" s="79"/>
      <c r="H24" s="79"/>
      <c r="I24" s="79"/>
      <c r="J24" s="79">
        <v>113973990.5</v>
      </c>
      <c r="K24" s="79"/>
      <c r="L24" s="79">
        <f t="shared" si="9"/>
        <v>113973990.5</v>
      </c>
      <c r="M24" s="79"/>
      <c r="N24" s="79">
        <v>1148348068</v>
      </c>
      <c r="O24" s="79">
        <v>405312743.44</v>
      </c>
      <c r="P24" s="79">
        <f>76114466+1607354759.12</f>
        <v>1683469225.1199999</v>
      </c>
      <c r="Q24" s="79">
        <v>1023232172.59</v>
      </c>
      <c r="R24" s="79">
        <v>590285674</v>
      </c>
      <c r="S24" s="79">
        <v>352036428.20999998</v>
      </c>
      <c r="T24" s="79">
        <v>130213732.13</v>
      </c>
      <c r="U24" s="79">
        <v>118805515.75</v>
      </c>
      <c r="V24" s="79"/>
      <c r="W24" s="79"/>
      <c r="X24" s="79"/>
      <c r="Y24" s="79">
        <v>137500</v>
      </c>
      <c r="Z24" s="79">
        <v>137500</v>
      </c>
      <c r="AA24" s="79">
        <f t="shared" si="8"/>
        <v>3552454199.25</v>
      </c>
      <c r="AB24" s="79">
        <f t="shared" si="0"/>
        <v>1899524359.99</v>
      </c>
      <c r="AC24" s="79">
        <f>6017862+2100000</f>
        <v>8117862</v>
      </c>
      <c r="AD24" s="79">
        <f>4950281.43+2100000</f>
        <v>7050281.4299999997</v>
      </c>
      <c r="AE24" s="79"/>
      <c r="AF24" s="79">
        <f t="shared" si="1"/>
        <v>1653997419.8299999</v>
      </c>
      <c r="AG24" s="80">
        <f t="shared" si="2"/>
        <v>1767971410.3299999</v>
      </c>
      <c r="AH24" s="79"/>
      <c r="AI24" s="79"/>
      <c r="AJ24" s="79">
        <f t="shared" si="3"/>
        <v>0</v>
      </c>
      <c r="AK24" s="79">
        <v>2786687985.4000001</v>
      </c>
      <c r="AL24" s="79"/>
      <c r="AM24" s="79">
        <v>-919220966.27999997</v>
      </c>
      <c r="AN24" s="79">
        <v>-347843474.79000002</v>
      </c>
      <c r="AO24" s="79">
        <f t="shared" si="4"/>
        <v>-1267064441.0699999</v>
      </c>
      <c r="AP24" s="79">
        <v>248347866</v>
      </c>
      <c r="AQ24" s="81"/>
      <c r="AR24" s="82">
        <f t="shared" si="5"/>
        <v>1767971410.3300002</v>
      </c>
      <c r="AS24" s="84">
        <f t="shared" si="6"/>
        <v>1767971410.3300002</v>
      </c>
      <c r="AT24" s="52">
        <f t="shared" si="10"/>
        <v>0</v>
      </c>
      <c r="AU24" s="49">
        <v>16</v>
      </c>
      <c r="AV24" s="50" t="s">
        <v>37</v>
      </c>
      <c r="AW24" s="50" t="s">
        <v>89</v>
      </c>
      <c r="AX24" s="50" t="s">
        <v>39</v>
      </c>
      <c r="AY24" s="51" t="s">
        <v>84</v>
      </c>
      <c r="AZ24" s="53">
        <v>2274000</v>
      </c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4">
        <f t="shared" si="11"/>
        <v>0</v>
      </c>
      <c r="BM24" s="53">
        <v>20000</v>
      </c>
      <c r="BN24" s="53"/>
      <c r="BO24" s="53"/>
      <c r="BP24" s="53"/>
      <c r="BQ24" s="53"/>
      <c r="BR24" s="53"/>
      <c r="BS24" s="54">
        <f t="shared" si="12"/>
        <v>20000</v>
      </c>
      <c r="BT24" s="55">
        <f t="shared" si="13"/>
        <v>20000</v>
      </c>
      <c r="BU24" s="53"/>
      <c r="BV24" s="53"/>
      <c r="BW24" s="53"/>
      <c r="BX24" s="53"/>
      <c r="BY24" s="53"/>
      <c r="BZ24" s="53"/>
      <c r="CA24" s="53"/>
      <c r="CB24" s="54">
        <f t="shared" si="14"/>
        <v>0</v>
      </c>
      <c r="CC24" s="53"/>
      <c r="CD24" s="56">
        <f t="shared" si="15"/>
        <v>0</v>
      </c>
      <c r="CE24" s="53"/>
      <c r="CF24" s="53"/>
      <c r="CG24" s="56">
        <f t="shared" si="16"/>
        <v>2294000</v>
      </c>
      <c r="CH24" s="57">
        <f t="shared" si="17"/>
        <v>3560572061.25</v>
      </c>
      <c r="CI24" s="58">
        <f t="shared" si="18"/>
        <v>-3558278061.25</v>
      </c>
    </row>
    <row r="25" spans="1:87" s="13" customFormat="1" ht="11.25" customHeight="1" x14ac:dyDescent="0.2">
      <c r="A25" s="74">
        <v>18</v>
      </c>
      <c r="B25" s="75" t="s">
        <v>202</v>
      </c>
      <c r="C25" s="75" t="s">
        <v>92</v>
      </c>
      <c r="D25" s="76" t="s">
        <v>112</v>
      </c>
      <c r="E25" s="85">
        <v>2736012</v>
      </c>
      <c r="F25" s="78" t="s">
        <v>94</v>
      </c>
      <c r="G25" s="79">
        <v>40586208.829999998</v>
      </c>
      <c r="H25" s="79">
        <v>166572091.46000001</v>
      </c>
      <c r="I25" s="79">
        <v>1344866140.1900001</v>
      </c>
      <c r="J25" s="79">
        <v>372141789.88</v>
      </c>
      <c r="K25" s="79"/>
      <c r="L25" s="79">
        <f>SUM(G25:K25)</f>
        <v>1924166230.3600001</v>
      </c>
      <c r="M25" s="79"/>
      <c r="N25" s="79">
        <v>26375063363.23</v>
      </c>
      <c r="O25" s="79">
        <v>15443364005.76</v>
      </c>
      <c r="P25" s="79">
        <f>30348263.62+10436723335.78</f>
        <v>10467071599.400002</v>
      </c>
      <c r="Q25" s="79">
        <f>4000199599.93+13824456.44</f>
        <v>4014024056.3699999</v>
      </c>
      <c r="R25" s="79">
        <v>1220287788.54</v>
      </c>
      <c r="S25" s="79">
        <v>638497278.52999997</v>
      </c>
      <c r="T25" s="79">
        <v>240625743.96000001</v>
      </c>
      <c r="U25" s="79">
        <v>160057414.41999999</v>
      </c>
      <c r="V25" s="79"/>
      <c r="W25" s="79"/>
      <c r="X25" s="79"/>
      <c r="Y25" s="79">
        <v>39381664.270000003</v>
      </c>
      <c r="Z25" s="79">
        <v>20645929.960000001</v>
      </c>
      <c r="AA25" s="79">
        <f>N25+P25+R25+T25+V25+W25+X25+Y25</f>
        <v>38342430159.400002</v>
      </c>
      <c r="AB25" s="79">
        <f t="shared" si="0"/>
        <v>20276588685.039997</v>
      </c>
      <c r="AC25" s="79">
        <v>58691822.600000001</v>
      </c>
      <c r="AD25" s="79">
        <v>44572955.420000002</v>
      </c>
      <c r="AE25" s="79">
        <v>1000000</v>
      </c>
      <c r="AF25" s="79">
        <f t="shared" si="1"/>
        <v>18080960341.540005</v>
      </c>
      <c r="AG25" s="80">
        <f t="shared" si="2"/>
        <v>20005126571.900005</v>
      </c>
      <c r="AH25" s="79">
        <v>1422228022.5599999</v>
      </c>
      <c r="AI25" s="79"/>
      <c r="AJ25" s="79">
        <f t="shared" si="3"/>
        <v>1422228022.5599999</v>
      </c>
      <c r="AK25" s="79">
        <v>3384431409</v>
      </c>
      <c r="AL25" s="79"/>
      <c r="AM25" s="79">
        <v>14292295077.370001</v>
      </c>
      <c r="AN25" s="79">
        <v>-3742185176.6100001</v>
      </c>
      <c r="AO25" s="79">
        <f>AM25+AN25</f>
        <v>10550109900.76</v>
      </c>
      <c r="AP25" s="79">
        <v>4592229100.1599998</v>
      </c>
      <c r="AQ25" s="81">
        <v>56128139.420000002</v>
      </c>
      <c r="AR25" s="82">
        <f t="shared" si="5"/>
        <v>18582898549.339996</v>
      </c>
      <c r="AS25" s="83">
        <f>AR25+AJ25</f>
        <v>20005126571.899998</v>
      </c>
      <c r="AT25" s="52">
        <f t="shared" si="10"/>
        <v>0</v>
      </c>
      <c r="AU25" s="49">
        <v>17</v>
      </c>
      <c r="AV25" s="50" t="s">
        <v>37</v>
      </c>
      <c r="AW25" s="50" t="s">
        <v>89</v>
      </c>
      <c r="AX25" s="50" t="s">
        <v>85</v>
      </c>
      <c r="AY25" s="51" t="s">
        <v>84</v>
      </c>
      <c r="AZ25" s="53">
        <v>62251700</v>
      </c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4">
        <f t="shared" si="11"/>
        <v>0</v>
      </c>
      <c r="BM25" s="53"/>
      <c r="BN25" s="53"/>
      <c r="BO25" s="53"/>
      <c r="BP25" s="53"/>
      <c r="BQ25" s="53"/>
      <c r="BR25" s="53"/>
      <c r="BS25" s="54">
        <f t="shared" si="12"/>
        <v>0</v>
      </c>
      <c r="BT25" s="55">
        <f t="shared" si="13"/>
        <v>0</v>
      </c>
      <c r="BU25" s="53"/>
      <c r="BV25" s="53"/>
      <c r="BW25" s="53"/>
      <c r="BX25" s="53"/>
      <c r="BY25" s="53"/>
      <c r="BZ25" s="53"/>
      <c r="CA25" s="53"/>
      <c r="CB25" s="54">
        <f t="shared" si="14"/>
        <v>0</v>
      </c>
      <c r="CC25" s="53"/>
      <c r="CD25" s="56">
        <f t="shared" si="15"/>
        <v>0</v>
      </c>
      <c r="CE25" s="53"/>
      <c r="CF25" s="53"/>
      <c r="CG25" s="56">
        <f t="shared" si="16"/>
        <v>62251700</v>
      </c>
      <c r="CH25" s="57">
        <f t="shared" si="17"/>
        <v>38401121982</v>
      </c>
      <c r="CI25" s="58">
        <f t="shared" si="18"/>
        <v>-38338870282</v>
      </c>
    </row>
    <row r="26" spans="1:87" s="13" customFormat="1" ht="11.25" customHeight="1" x14ac:dyDescent="0.2">
      <c r="A26" s="74">
        <v>19</v>
      </c>
      <c r="B26" s="75" t="s">
        <v>202</v>
      </c>
      <c r="C26" s="75" t="s">
        <v>92</v>
      </c>
      <c r="D26" s="76" t="s">
        <v>113</v>
      </c>
      <c r="E26" s="85">
        <v>9024476</v>
      </c>
      <c r="F26" s="78" t="s">
        <v>114</v>
      </c>
      <c r="G26" s="79"/>
      <c r="H26" s="79"/>
      <c r="I26" s="79"/>
      <c r="J26" s="79">
        <v>26645620.23</v>
      </c>
      <c r="K26" s="79"/>
      <c r="L26" s="79">
        <f t="shared" si="9"/>
        <v>26645620.23</v>
      </c>
      <c r="M26" s="79"/>
      <c r="N26" s="79">
        <v>5000000</v>
      </c>
      <c r="O26" s="79">
        <v>3916666.51</v>
      </c>
      <c r="P26" s="79">
        <v>40610390.950000003</v>
      </c>
      <c r="Q26" s="79">
        <v>31134635.239999998</v>
      </c>
      <c r="R26" s="79">
        <v>83136119</v>
      </c>
      <c r="S26" s="79">
        <v>42058813.899999999</v>
      </c>
      <c r="T26" s="79">
        <v>18933140.809999999</v>
      </c>
      <c r="U26" s="79">
        <v>8331074.4500000002</v>
      </c>
      <c r="V26" s="79"/>
      <c r="W26" s="79">
        <v>94800</v>
      </c>
      <c r="X26" s="79"/>
      <c r="Y26" s="79">
        <v>1344800</v>
      </c>
      <c r="Z26" s="79">
        <v>1344800</v>
      </c>
      <c r="AA26" s="79">
        <f t="shared" si="8"/>
        <v>149119250.75999999</v>
      </c>
      <c r="AB26" s="79">
        <f t="shared" si="0"/>
        <v>86785990.100000009</v>
      </c>
      <c r="AC26" s="79">
        <f>1014500+20000000</f>
        <v>21014500</v>
      </c>
      <c r="AD26" s="79">
        <f>944916.47+20000000</f>
        <v>20944916.469999999</v>
      </c>
      <c r="AE26" s="79"/>
      <c r="AF26" s="79">
        <f>AA26-AB26+AC26-AD26+AE26</f>
        <v>62402844.189999983</v>
      </c>
      <c r="AG26" s="80">
        <f t="shared" si="2"/>
        <v>89048464.419999987</v>
      </c>
      <c r="AH26" s="79">
        <v>46329080</v>
      </c>
      <c r="AI26" s="79"/>
      <c r="AJ26" s="79">
        <f t="shared" si="3"/>
        <v>46329080</v>
      </c>
      <c r="AK26" s="79">
        <v>118548542.56</v>
      </c>
      <c r="AL26" s="79"/>
      <c r="AM26" s="79">
        <v>-6403876.3499999996</v>
      </c>
      <c r="AN26" s="79">
        <v>-69603583.280000001</v>
      </c>
      <c r="AO26" s="79">
        <f t="shared" si="4"/>
        <v>-76007459.629999995</v>
      </c>
      <c r="AP26" s="79">
        <v>178301.49</v>
      </c>
      <c r="AQ26" s="81"/>
      <c r="AR26" s="82">
        <f t="shared" si="5"/>
        <v>42719384.420000009</v>
      </c>
      <c r="AS26" s="83">
        <f t="shared" si="6"/>
        <v>89048464.420000017</v>
      </c>
      <c r="AT26" s="52"/>
      <c r="AU26" s="49"/>
      <c r="AV26" s="50"/>
      <c r="AW26" s="50"/>
      <c r="AX26" s="50"/>
      <c r="AY26" s="51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4"/>
      <c r="BM26" s="53"/>
      <c r="BN26" s="53"/>
      <c r="BO26" s="53"/>
      <c r="BP26" s="53"/>
      <c r="BQ26" s="53"/>
      <c r="BR26" s="53"/>
      <c r="BS26" s="54"/>
      <c r="BT26" s="55"/>
      <c r="BU26" s="53"/>
      <c r="BV26" s="53"/>
      <c r="BW26" s="53"/>
      <c r="BX26" s="53"/>
      <c r="BY26" s="53"/>
      <c r="BZ26" s="53"/>
      <c r="CA26" s="53"/>
      <c r="CB26" s="54"/>
      <c r="CC26" s="53"/>
      <c r="CD26" s="56"/>
      <c r="CE26" s="53"/>
      <c r="CF26" s="53"/>
      <c r="CG26" s="56"/>
      <c r="CH26" s="57"/>
      <c r="CI26" s="58"/>
    </row>
    <row r="27" spans="1:87" x14ac:dyDescent="0.2">
      <c r="A27" s="74">
        <v>20</v>
      </c>
      <c r="B27" s="75" t="s">
        <v>202</v>
      </c>
      <c r="C27" s="75" t="s">
        <v>92</v>
      </c>
      <c r="D27" s="76" t="s">
        <v>115</v>
      </c>
      <c r="E27" s="85">
        <v>9025359</v>
      </c>
      <c r="F27" s="78" t="s">
        <v>116</v>
      </c>
      <c r="G27" s="79"/>
      <c r="H27" s="79"/>
      <c r="I27" s="79">
        <v>458890</v>
      </c>
      <c r="J27" s="79">
        <v>34863341</v>
      </c>
      <c r="K27" s="79"/>
      <c r="L27" s="79">
        <f t="shared" si="9"/>
        <v>35322231</v>
      </c>
      <c r="M27" s="79"/>
      <c r="N27" s="79">
        <v>1479811829</v>
      </c>
      <c r="O27" s="79">
        <v>267005383.38999999</v>
      </c>
      <c r="P27" s="79">
        <v>124328239.66</v>
      </c>
      <c r="Q27" s="79">
        <v>34741727.380000003</v>
      </c>
      <c r="R27" s="79">
        <v>56000000</v>
      </c>
      <c r="S27" s="79">
        <v>10111111.140000001</v>
      </c>
      <c r="T27" s="79">
        <v>123111332</v>
      </c>
      <c r="U27" s="79">
        <v>41172300.939999998</v>
      </c>
      <c r="V27" s="79"/>
      <c r="W27" s="79"/>
      <c r="X27" s="79"/>
      <c r="Y27" s="79">
        <v>1208000</v>
      </c>
      <c r="Z27" s="79">
        <v>1208000</v>
      </c>
      <c r="AA27" s="79">
        <f t="shared" si="8"/>
        <v>1784459400.6600001</v>
      </c>
      <c r="AB27" s="79">
        <f t="shared" si="0"/>
        <v>354238522.84999996</v>
      </c>
      <c r="AC27" s="79">
        <v>200000</v>
      </c>
      <c r="AD27" s="79">
        <v>154166.79</v>
      </c>
      <c r="AE27" s="79"/>
      <c r="AF27" s="79">
        <f t="shared" si="1"/>
        <v>1430266711.0200002</v>
      </c>
      <c r="AG27" s="80">
        <f t="shared" si="2"/>
        <v>1465588942.0200002</v>
      </c>
      <c r="AH27" s="79"/>
      <c r="AI27" s="79"/>
      <c r="AJ27" s="79">
        <f t="shared" si="3"/>
        <v>0</v>
      </c>
      <c r="AK27" s="79">
        <v>206976893.47</v>
      </c>
      <c r="AL27" s="79"/>
      <c r="AM27" s="79">
        <v>1264092285.3900001</v>
      </c>
      <c r="AN27" s="79">
        <v>-50071394.609999999</v>
      </c>
      <c r="AO27" s="79">
        <f t="shared" si="4"/>
        <v>1214020890.7800002</v>
      </c>
      <c r="AP27" s="79">
        <v>44591157.770000003</v>
      </c>
      <c r="AQ27" s="81"/>
      <c r="AR27" s="82">
        <f t="shared" si="5"/>
        <v>1465588942.0200002</v>
      </c>
      <c r="AS27" s="83">
        <f t="shared" si="6"/>
        <v>1465588942.0200002</v>
      </c>
    </row>
    <row r="28" spans="1:87" x14ac:dyDescent="0.2">
      <c r="A28" s="74">
        <v>21</v>
      </c>
      <c r="B28" s="75" t="s">
        <v>202</v>
      </c>
      <c r="C28" s="75" t="s">
        <v>92</v>
      </c>
      <c r="D28" s="76" t="s">
        <v>117</v>
      </c>
      <c r="E28" s="85">
        <v>9023143</v>
      </c>
      <c r="F28" s="78" t="s">
        <v>94</v>
      </c>
      <c r="G28" s="79"/>
      <c r="H28" s="79"/>
      <c r="I28" s="79"/>
      <c r="J28" s="79">
        <f>14517080.61+22856675</f>
        <v>37373755.609999999</v>
      </c>
      <c r="K28" s="79"/>
      <c r="L28" s="79">
        <f t="shared" si="9"/>
        <v>37373755.609999999</v>
      </c>
      <c r="M28" s="79"/>
      <c r="N28" s="79">
        <f>1568927744</f>
        <v>1568927744</v>
      </c>
      <c r="O28" s="79">
        <v>932715116.58000004</v>
      </c>
      <c r="P28" s="79">
        <f>301848480.06+7550300</f>
        <v>309398780.06</v>
      </c>
      <c r="Q28" s="79">
        <f>291763341.66+5475621.92</f>
        <v>297238963.58000004</v>
      </c>
      <c r="R28" s="79">
        <f>6200000</f>
        <v>6200000</v>
      </c>
      <c r="S28" s="79">
        <v>2738333.51</v>
      </c>
      <c r="T28" s="79">
        <f>36965030.43+8182000</f>
        <v>45147030.43</v>
      </c>
      <c r="U28" s="79">
        <f>21802919.14+5612975</f>
        <v>27415894.140000001</v>
      </c>
      <c r="V28" s="79"/>
      <c r="W28" s="79"/>
      <c r="X28" s="79"/>
      <c r="Y28" s="79">
        <f>1228800</f>
        <v>1228800</v>
      </c>
      <c r="Z28" s="79">
        <v>1228800</v>
      </c>
      <c r="AA28" s="79">
        <f t="shared" si="8"/>
        <v>1930902354.49</v>
      </c>
      <c r="AB28" s="79">
        <f t="shared" si="0"/>
        <v>1261337107.8100002</v>
      </c>
      <c r="AC28" s="79">
        <v>455000</v>
      </c>
      <c r="AD28" s="79">
        <v>455000</v>
      </c>
      <c r="AE28" s="79"/>
      <c r="AF28" s="79">
        <f t="shared" si="1"/>
        <v>669565246.67999983</v>
      </c>
      <c r="AG28" s="80">
        <f t="shared" si="2"/>
        <v>706939002.28999984</v>
      </c>
      <c r="AH28" s="79"/>
      <c r="AI28" s="79"/>
      <c r="AJ28" s="79">
        <f t="shared" si="3"/>
        <v>0</v>
      </c>
      <c r="AK28" s="79">
        <f>899349148.2</f>
        <v>899349148.20000005</v>
      </c>
      <c r="AL28" s="79"/>
      <c r="AM28" s="79">
        <f>-399030606.73+14190609.89</f>
        <v>-384839996.84000003</v>
      </c>
      <c r="AN28" s="79">
        <f>11263561.17+13309768.19</f>
        <v>24573329.359999999</v>
      </c>
      <c r="AO28" s="79">
        <f t="shared" si="4"/>
        <v>-360266667.48000002</v>
      </c>
      <c r="AP28" s="79">
        <v>167856521.56999999</v>
      </c>
      <c r="AQ28" s="81"/>
      <c r="AR28" s="82">
        <f t="shared" si="5"/>
        <v>706939002.28999996</v>
      </c>
      <c r="AS28" s="83">
        <f t="shared" si="6"/>
        <v>706939002.28999996</v>
      </c>
    </row>
    <row r="29" spans="1:87" x14ac:dyDescent="0.2">
      <c r="A29" s="74">
        <v>22</v>
      </c>
      <c r="B29" s="75" t="s">
        <v>202</v>
      </c>
      <c r="C29" s="75" t="s">
        <v>92</v>
      </c>
      <c r="D29" s="76" t="s">
        <v>118</v>
      </c>
      <c r="E29" s="85">
        <v>9024034</v>
      </c>
      <c r="F29" s="78" t="s">
        <v>94</v>
      </c>
      <c r="G29" s="79"/>
      <c r="H29" s="79"/>
      <c r="I29" s="79"/>
      <c r="J29" s="79">
        <v>8231412</v>
      </c>
      <c r="K29" s="79"/>
      <c r="L29" s="79">
        <f t="shared" si="9"/>
        <v>8231412</v>
      </c>
      <c r="M29" s="79"/>
      <c r="N29" s="79">
        <v>610996577</v>
      </c>
      <c r="O29" s="79">
        <v>78026883.450000003</v>
      </c>
      <c r="P29" s="79">
        <v>23210972.649999999</v>
      </c>
      <c r="Q29" s="79">
        <v>20901502.850000001</v>
      </c>
      <c r="R29" s="79">
        <v>5000000</v>
      </c>
      <c r="S29" s="79">
        <v>5000000</v>
      </c>
      <c r="T29" s="79">
        <v>16014517.949999999</v>
      </c>
      <c r="U29" s="79">
        <v>11187035.24</v>
      </c>
      <c r="V29" s="79"/>
      <c r="W29" s="79">
        <v>362084.43</v>
      </c>
      <c r="X29" s="79"/>
      <c r="Y29" s="79"/>
      <c r="Z29" s="79"/>
      <c r="AA29" s="79">
        <f t="shared" si="8"/>
        <v>655584152.02999997</v>
      </c>
      <c r="AB29" s="79">
        <f t="shared" si="0"/>
        <v>115115421.54000001</v>
      </c>
      <c r="AC29" s="79">
        <v>855000</v>
      </c>
      <c r="AD29" s="79">
        <v>809166.98</v>
      </c>
      <c r="AE29" s="79"/>
      <c r="AF29" s="79">
        <f t="shared" si="1"/>
        <v>540514563.50999999</v>
      </c>
      <c r="AG29" s="80">
        <f t="shared" si="2"/>
        <v>548745975.50999999</v>
      </c>
      <c r="AH29" s="79"/>
      <c r="AI29" s="79"/>
      <c r="AJ29" s="79">
        <f t="shared" si="3"/>
        <v>0</v>
      </c>
      <c r="AK29" s="79">
        <v>614891757.42999995</v>
      </c>
      <c r="AL29" s="79"/>
      <c r="AM29" s="79">
        <v>-52640482.990000002</v>
      </c>
      <c r="AN29" s="79">
        <v>-13851352.58</v>
      </c>
      <c r="AO29" s="79">
        <f t="shared" si="4"/>
        <v>-66491835.57</v>
      </c>
      <c r="AP29" s="79">
        <v>346053.65</v>
      </c>
      <c r="AQ29" s="81"/>
      <c r="AR29" s="82">
        <f t="shared" si="5"/>
        <v>548745975.50999987</v>
      </c>
      <c r="AS29" s="83">
        <f t="shared" si="6"/>
        <v>548745975.50999987</v>
      </c>
    </row>
    <row r="30" spans="1:87" x14ac:dyDescent="0.2">
      <c r="A30" s="74">
        <v>23</v>
      </c>
      <c r="B30" s="75" t="s">
        <v>202</v>
      </c>
      <c r="C30" s="75" t="s">
        <v>92</v>
      </c>
      <c r="D30" s="76" t="s">
        <v>119</v>
      </c>
      <c r="E30" s="85">
        <v>4254821</v>
      </c>
      <c r="F30" s="78" t="s">
        <v>94</v>
      </c>
      <c r="G30" s="79">
        <v>7392223.0199999996</v>
      </c>
      <c r="H30" s="79"/>
      <c r="I30" s="79">
        <v>48797.89</v>
      </c>
      <c r="J30" s="79">
        <v>262160</v>
      </c>
      <c r="K30" s="79"/>
      <c r="L30" s="79">
        <f t="shared" si="9"/>
        <v>7703180.9099999992</v>
      </c>
      <c r="M30" s="79"/>
      <c r="N30" s="79"/>
      <c r="O30" s="79"/>
      <c r="P30" s="79">
        <v>16829054</v>
      </c>
      <c r="Q30" s="79">
        <v>10807857.800000001</v>
      </c>
      <c r="R30" s="79"/>
      <c r="S30" s="79"/>
      <c r="T30" s="79">
        <v>2059800</v>
      </c>
      <c r="U30" s="79">
        <v>1029900</v>
      </c>
      <c r="V30" s="79"/>
      <c r="W30" s="79"/>
      <c r="X30" s="79"/>
      <c r="Y30" s="79"/>
      <c r="Z30" s="79"/>
      <c r="AA30" s="79">
        <f t="shared" si="8"/>
        <v>18888854</v>
      </c>
      <c r="AB30" s="79">
        <f t="shared" si="0"/>
        <v>11837757.800000001</v>
      </c>
      <c r="AC30" s="79"/>
      <c r="AD30" s="79"/>
      <c r="AE30" s="79"/>
      <c r="AF30" s="79">
        <f t="shared" si="1"/>
        <v>7051096.1999999993</v>
      </c>
      <c r="AG30" s="80">
        <f t="shared" si="2"/>
        <v>14754277.109999999</v>
      </c>
      <c r="AH30" s="79">
        <f>6128265.95</f>
        <v>6128265.9500000002</v>
      </c>
      <c r="AI30" s="79"/>
      <c r="AJ30" s="79">
        <f t="shared" si="3"/>
        <v>6128265.9500000002</v>
      </c>
      <c r="AK30" s="79">
        <v>13878954</v>
      </c>
      <c r="AL30" s="79"/>
      <c r="AM30" s="79">
        <v>-4049121.93</v>
      </c>
      <c r="AN30" s="79">
        <v>-1203820.9099999999</v>
      </c>
      <c r="AO30" s="79">
        <f t="shared" si="4"/>
        <v>-5252942.84</v>
      </c>
      <c r="AP30" s="79"/>
      <c r="AQ30" s="81"/>
      <c r="AR30" s="82">
        <f t="shared" si="5"/>
        <v>8626011.1600000001</v>
      </c>
      <c r="AS30" s="84">
        <f t="shared" si="6"/>
        <v>14754277.109999999</v>
      </c>
    </row>
    <row r="31" spans="1:87" x14ac:dyDescent="0.2">
      <c r="A31" s="74">
        <v>24</v>
      </c>
      <c r="B31" s="75" t="s">
        <v>202</v>
      </c>
      <c r="C31" s="75" t="s">
        <v>120</v>
      </c>
      <c r="D31" s="86" t="s">
        <v>121</v>
      </c>
      <c r="E31" s="85">
        <v>4261461</v>
      </c>
      <c r="F31" s="78" t="s">
        <v>94</v>
      </c>
      <c r="G31" s="79">
        <v>375582.18</v>
      </c>
      <c r="H31" s="79"/>
      <c r="I31" s="79">
        <v>3518974</v>
      </c>
      <c r="J31" s="79">
        <v>27256415</v>
      </c>
      <c r="K31" s="79"/>
      <c r="L31" s="79">
        <f t="shared" si="9"/>
        <v>31150971.18</v>
      </c>
      <c r="M31" s="79"/>
      <c r="N31" s="79">
        <v>240024622</v>
      </c>
      <c r="O31" s="79">
        <v>70173922.340000004</v>
      </c>
      <c r="P31" s="79">
        <v>2549200</v>
      </c>
      <c r="Q31" s="79">
        <v>1000182.93</v>
      </c>
      <c r="R31" s="79">
        <v>180000000</v>
      </c>
      <c r="S31" s="79">
        <v>56754861.100000001</v>
      </c>
      <c r="T31" s="79">
        <v>1169600</v>
      </c>
      <c r="U31" s="79">
        <v>243666.75</v>
      </c>
      <c r="V31" s="79"/>
      <c r="W31" s="79"/>
      <c r="X31" s="79">
        <v>1475000</v>
      </c>
      <c r="Y31" s="79">
        <f>309758063+506621787</f>
        <v>816379850</v>
      </c>
      <c r="Z31" s="79">
        <f>184301710.02+99407669.23</f>
        <v>283709379.25</v>
      </c>
      <c r="AA31" s="79">
        <f t="shared" si="8"/>
        <v>1241598272</v>
      </c>
      <c r="AB31" s="79">
        <f>O31+Q31+S31+U31+Z31</f>
        <v>411882012.37</v>
      </c>
      <c r="AC31" s="79"/>
      <c r="AD31" s="79"/>
      <c r="AE31" s="79"/>
      <c r="AF31" s="79">
        <f t="shared" si="1"/>
        <v>829716259.63</v>
      </c>
      <c r="AG31" s="80">
        <f t="shared" si="2"/>
        <v>860867230.80999994</v>
      </c>
      <c r="AH31" s="79">
        <v>1863252</v>
      </c>
      <c r="AI31" s="79"/>
      <c r="AJ31" s="79">
        <f t="shared" si="3"/>
        <v>1863252</v>
      </c>
      <c r="AK31" s="79">
        <v>111595600</v>
      </c>
      <c r="AL31" s="79"/>
      <c r="AM31" s="79">
        <v>902091274.46000004</v>
      </c>
      <c r="AN31" s="79">
        <v>-154682895.65000001</v>
      </c>
      <c r="AO31" s="79">
        <f t="shared" si="4"/>
        <v>747408378.81000006</v>
      </c>
      <c r="AP31" s="79"/>
      <c r="AQ31" s="81"/>
      <c r="AR31" s="82">
        <f t="shared" si="5"/>
        <v>859003978.81000006</v>
      </c>
      <c r="AS31" s="83">
        <f t="shared" si="6"/>
        <v>860867230.81000006</v>
      </c>
    </row>
    <row r="32" spans="1:87" x14ac:dyDescent="0.2">
      <c r="A32" s="74">
        <v>25</v>
      </c>
      <c r="B32" s="75" t="s">
        <v>202</v>
      </c>
      <c r="C32" s="75" t="s">
        <v>92</v>
      </c>
      <c r="D32" s="76" t="s">
        <v>122</v>
      </c>
      <c r="E32" s="85">
        <v>4252233</v>
      </c>
      <c r="F32" s="78" t="s">
        <v>94</v>
      </c>
      <c r="G32" s="79">
        <v>1495717.96</v>
      </c>
      <c r="H32" s="79"/>
      <c r="I32" s="79">
        <v>12866172.5</v>
      </c>
      <c r="J32" s="79">
        <v>22587379.609999999</v>
      </c>
      <c r="K32" s="79"/>
      <c r="L32" s="79">
        <f t="shared" si="9"/>
        <v>36949270.07</v>
      </c>
      <c r="M32" s="79"/>
      <c r="N32" s="79">
        <v>1591759971.5699999</v>
      </c>
      <c r="O32" s="79">
        <v>402615594.82999998</v>
      </c>
      <c r="P32" s="79">
        <v>19454968</v>
      </c>
      <c r="Q32" s="79">
        <v>11868978.199999999</v>
      </c>
      <c r="R32" s="79">
        <v>69500000</v>
      </c>
      <c r="S32" s="79">
        <v>37687500.039999999</v>
      </c>
      <c r="T32" s="79">
        <v>1630000</v>
      </c>
      <c r="U32" s="79">
        <v>999250.01</v>
      </c>
      <c r="V32" s="79"/>
      <c r="W32" s="79"/>
      <c r="X32" s="79">
        <v>89321469.150000006</v>
      </c>
      <c r="Y32" s="79"/>
      <c r="Z32" s="79"/>
      <c r="AA32" s="79">
        <f t="shared" si="8"/>
        <v>1771666408.72</v>
      </c>
      <c r="AB32" s="79">
        <f t="shared" si="0"/>
        <v>453171323.07999998</v>
      </c>
      <c r="AC32" s="79">
        <v>9189090.9100000001</v>
      </c>
      <c r="AD32" s="79">
        <v>1248035.06</v>
      </c>
      <c r="AE32" s="79"/>
      <c r="AF32" s="79">
        <f t="shared" si="1"/>
        <v>1326436141.4900002</v>
      </c>
      <c r="AG32" s="80">
        <f t="shared" si="2"/>
        <v>1363385411.5600002</v>
      </c>
      <c r="AH32" s="79">
        <v>13341678.32</v>
      </c>
      <c r="AI32" s="79"/>
      <c r="AJ32" s="79">
        <f t="shared" si="3"/>
        <v>13341678.32</v>
      </c>
      <c r="AK32" s="79">
        <v>1533034956.71</v>
      </c>
      <c r="AL32" s="79"/>
      <c r="AM32" s="79">
        <v>-82160499.549999997</v>
      </c>
      <c r="AN32" s="79">
        <v>-100830723.92</v>
      </c>
      <c r="AO32" s="79">
        <f t="shared" si="4"/>
        <v>-182991223.47</v>
      </c>
      <c r="AP32" s="79"/>
      <c r="AQ32" s="81"/>
      <c r="AR32" s="82">
        <f t="shared" si="5"/>
        <v>1350043733.24</v>
      </c>
      <c r="AS32" s="83">
        <f t="shared" si="6"/>
        <v>1363385411.5599999</v>
      </c>
    </row>
    <row r="33" spans="1:45" x14ac:dyDescent="0.2">
      <c r="A33" s="87">
        <v>26</v>
      </c>
      <c r="B33" s="75" t="s">
        <v>202</v>
      </c>
      <c r="C33" s="88" t="s">
        <v>92</v>
      </c>
      <c r="D33" s="89" t="s">
        <v>123</v>
      </c>
      <c r="E33" s="90">
        <v>4263928</v>
      </c>
      <c r="F33" s="91" t="s">
        <v>94</v>
      </c>
      <c r="G33" s="92">
        <v>22505962.699999999</v>
      </c>
      <c r="H33" s="92"/>
      <c r="I33" s="92">
        <f>21816300+261472.96</f>
        <v>22077772.960000001</v>
      </c>
      <c r="J33" s="92">
        <v>3345887</v>
      </c>
      <c r="K33" s="92"/>
      <c r="L33" s="92">
        <f t="shared" si="9"/>
        <v>47929622.659999996</v>
      </c>
      <c r="M33" s="92"/>
      <c r="N33" s="92"/>
      <c r="O33" s="92"/>
      <c r="P33" s="92">
        <v>12014439</v>
      </c>
      <c r="Q33" s="92">
        <v>3006025.7</v>
      </c>
      <c r="R33" s="92">
        <v>45000000</v>
      </c>
      <c r="S33" s="92">
        <v>6625000</v>
      </c>
      <c r="T33" s="92">
        <v>21350143.52</v>
      </c>
      <c r="U33" s="92">
        <v>3650540.82</v>
      </c>
      <c r="V33" s="92"/>
      <c r="W33" s="92"/>
      <c r="X33" s="92"/>
      <c r="Y33" s="92"/>
      <c r="Z33" s="92"/>
      <c r="AA33" s="92">
        <f t="shared" si="8"/>
        <v>78364582.519999996</v>
      </c>
      <c r="AB33" s="92">
        <f t="shared" si="0"/>
        <v>13281566.52</v>
      </c>
      <c r="AC33" s="92">
        <v>600000</v>
      </c>
      <c r="AD33" s="92"/>
      <c r="AE33" s="92"/>
      <c r="AF33" s="92">
        <f t="shared" si="1"/>
        <v>65683016</v>
      </c>
      <c r="AG33" s="93">
        <f t="shared" si="2"/>
        <v>113612638.66</v>
      </c>
      <c r="AH33" s="92">
        <v>4488905.29</v>
      </c>
      <c r="AI33" s="92"/>
      <c r="AJ33" s="92">
        <f t="shared" si="3"/>
        <v>4488905.29</v>
      </c>
      <c r="AK33" s="92">
        <v>62399350</v>
      </c>
      <c r="AL33" s="92"/>
      <c r="AM33" s="92">
        <v>54253351.189999998</v>
      </c>
      <c r="AN33" s="92">
        <v>-7528967.8200000003</v>
      </c>
      <c r="AO33" s="92">
        <f>AM33+AN33</f>
        <v>46724383.369999997</v>
      </c>
      <c r="AP33" s="92"/>
      <c r="AQ33" s="94"/>
      <c r="AR33" s="95">
        <f t="shared" si="5"/>
        <v>109123733.37</v>
      </c>
      <c r="AS33" s="96">
        <f t="shared" si="6"/>
        <v>113612638.66000001</v>
      </c>
    </row>
    <row r="34" spans="1:45" x14ac:dyDescent="0.2">
      <c r="A34" s="74">
        <v>27</v>
      </c>
      <c r="B34" s="75" t="s">
        <v>202</v>
      </c>
      <c r="C34" s="75" t="s">
        <v>92</v>
      </c>
      <c r="D34" s="76" t="s">
        <v>124</v>
      </c>
      <c r="E34" s="85">
        <v>4259564</v>
      </c>
      <c r="F34" s="78" t="s">
        <v>94</v>
      </c>
      <c r="G34" s="79">
        <v>83608.81</v>
      </c>
      <c r="H34" s="79"/>
      <c r="I34" s="79"/>
      <c r="J34" s="79"/>
      <c r="K34" s="79"/>
      <c r="L34" s="79">
        <f t="shared" si="9"/>
        <v>83608.81</v>
      </c>
      <c r="M34" s="79"/>
      <c r="N34" s="79"/>
      <c r="O34" s="79"/>
      <c r="P34" s="79">
        <v>4404100</v>
      </c>
      <c r="Q34" s="79">
        <v>1881614.65</v>
      </c>
      <c r="R34" s="79"/>
      <c r="S34" s="79"/>
      <c r="T34" s="79">
        <v>5640880</v>
      </c>
      <c r="U34" s="79">
        <v>2246805.66</v>
      </c>
      <c r="V34" s="79"/>
      <c r="W34" s="79"/>
      <c r="X34" s="79"/>
      <c r="Y34" s="79"/>
      <c r="Z34" s="79"/>
      <c r="AA34" s="79">
        <f t="shared" si="8"/>
        <v>10044980</v>
      </c>
      <c r="AB34" s="79">
        <f t="shared" si="0"/>
        <v>4128420.31</v>
      </c>
      <c r="AC34" s="79">
        <v>770000</v>
      </c>
      <c r="AD34" s="79">
        <v>154000</v>
      </c>
      <c r="AE34" s="79"/>
      <c r="AF34" s="79">
        <f t="shared" si="1"/>
        <v>6532559.6899999995</v>
      </c>
      <c r="AG34" s="80">
        <f t="shared" si="2"/>
        <v>6616168.4999999991</v>
      </c>
      <c r="AH34" s="79">
        <v>2483989</v>
      </c>
      <c r="AI34" s="79"/>
      <c r="AJ34" s="79">
        <f t="shared" si="3"/>
        <v>2483989</v>
      </c>
      <c r="AK34" s="79">
        <v>10528740</v>
      </c>
      <c r="AL34" s="79"/>
      <c r="AM34" s="79">
        <v>10199759.27</v>
      </c>
      <c r="AN34" s="79">
        <v>-16596319.77</v>
      </c>
      <c r="AO34" s="79">
        <f t="shared" si="4"/>
        <v>-6396560.5</v>
      </c>
      <c r="AP34" s="79"/>
      <c r="AQ34" s="81"/>
      <c r="AR34" s="82">
        <f t="shared" si="5"/>
        <v>4132179.5</v>
      </c>
      <c r="AS34" s="84">
        <f t="shared" si="6"/>
        <v>6616168.5</v>
      </c>
    </row>
    <row r="35" spans="1:45" x14ac:dyDescent="0.2">
      <c r="A35" s="74">
        <v>28</v>
      </c>
      <c r="B35" s="75" t="s">
        <v>202</v>
      </c>
      <c r="C35" s="75" t="s">
        <v>92</v>
      </c>
      <c r="D35" s="76" t="s">
        <v>125</v>
      </c>
      <c r="E35" s="85">
        <v>9024166</v>
      </c>
      <c r="F35" s="78" t="s">
        <v>126</v>
      </c>
      <c r="G35" s="79"/>
      <c r="H35" s="79"/>
      <c r="I35" s="79">
        <v>4238000</v>
      </c>
      <c r="J35" s="79">
        <v>181775264.31999999</v>
      </c>
      <c r="K35" s="79"/>
      <c r="L35" s="79">
        <f t="shared" si="9"/>
        <v>186013264.31999999</v>
      </c>
      <c r="M35" s="79"/>
      <c r="N35" s="79">
        <v>2925612578</v>
      </c>
      <c r="O35" s="79">
        <v>1813844751.97</v>
      </c>
      <c r="P35" s="79">
        <v>403207941.64999998</v>
      </c>
      <c r="Q35" s="79">
        <v>266988232.72</v>
      </c>
      <c r="R35" s="79">
        <v>87047297</v>
      </c>
      <c r="S35" s="79">
        <v>69813963.689999998</v>
      </c>
      <c r="T35" s="79">
        <v>107069204.52</v>
      </c>
      <c r="U35" s="79">
        <v>74737508.760000005</v>
      </c>
      <c r="V35" s="79"/>
      <c r="W35" s="79">
        <v>5579932</v>
      </c>
      <c r="X35" s="79"/>
      <c r="Y35" s="79">
        <v>29228500</v>
      </c>
      <c r="Z35" s="79">
        <v>17973823.120000001</v>
      </c>
      <c r="AA35" s="79">
        <f t="shared" si="8"/>
        <v>3557745453.1700001</v>
      </c>
      <c r="AB35" s="79">
        <f t="shared" si="0"/>
        <v>2243358280.2600002</v>
      </c>
      <c r="AC35" s="79">
        <v>2572000</v>
      </c>
      <c r="AD35" s="79">
        <v>2123083.39</v>
      </c>
      <c r="AE35" s="79"/>
      <c r="AF35" s="79">
        <f t="shared" si="1"/>
        <v>1314836089.5199997</v>
      </c>
      <c r="AG35" s="80">
        <f t="shared" si="2"/>
        <v>1500849353.8399997</v>
      </c>
      <c r="AH35" s="79">
        <v>3540800</v>
      </c>
      <c r="AI35" s="79"/>
      <c r="AJ35" s="79">
        <f t="shared" si="3"/>
        <v>3540800</v>
      </c>
      <c r="AK35" s="79">
        <v>472653825.14999998</v>
      </c>
      <c r="AL35" s="79"/>
      <c r="AM35" s="79">
        <v>-517619211.66000003</v>
      </c>
      <c r="AN35" s="79">
        <v>67363270.049999997</v>
      </c>
      <c r="AO35" s="79">
        <f t="shared" si="4"/>
        <v>-450255941.61000001</v>
      </c>
      <c r="AP35" s="79">
        <v>1474910670.3</v>
      </c>
      <c r="AQ35" s="81"/>
      <c r="AR35" s="82">
        <f t="shared" si="5"/>
        <v>1497308553.8399999</v>
      </c>
      <c r="AS35" s="84">
        <f t="shared" si="6"/>
        <v>1500849353.8399999</v>
      </c>
    </row>
    <row r="36" spans="1:45" x14ac:dyDescent="0.2">
      <c r="A36" s="74">
        <v>29</v>
      </c>
      <c r="B36" s="75" t="s">
        <v>202</v>
      </c>
      <c r="C36" s="75" t="s">
        <v>92</v>
      </c>
      <c r="D36" s="76" t="s">
        <v>127</v>
      </c>
      <c r="E36" s="85">
        <v>9023682</v>
      </c>
      <c r="F36" s="78" t="s">
        <v>94</v>
      </c>
      <c r="G36" s="79"/>
      <c r="H36" s="79"/>
      <c r="I36" s="79"/>
      <c r="J36" s="79">
        <v>18209956.399999999</v>
      </c>
      <c r="K36" s="79"/>
      <c r="L36" s="79">
        <f t="shared" si="9"/>
        <v>18209956.399999999</v>
      </c>
      <c r="M36" s="79"/>
      <c r="N36" s="79">
        <v>599116341.5</v>
      </c>
      <c r="O36" s="79">
        <v>310318450.31</v>
      </c>
      <c r="P36" s="79">
        <v>85787528</v>
      </c>
      <c r="Q36" s="79">
        <v>46066249.649999999</v>
      </c>
      <c r="R36" s="79">
        <v>37195443</v>
      </c>
      <c r="S36" s="79">
        <v>25176022.420000002</v>
      </c>
      <c r="T36" s="79">
        <v>21248260</v>
      </c>
      <c r="U36" s="79">
        <v>8765798.4100000001</v>
      </c>
      <c r="V36" s="79"/>
      <c r="W36" s="79"/>
      <c r="X36" s="79"/>
      <c r="Y36" s="79">
        <v>1403300</v>
      </c>
      <c r="Z36" s="79">
        <v>557817.84</v>
      </c>
      <c r="AA36" s="79">
        <f t="shared" si="8"/>
        <v>744750872.5</v>
      </c>
      <c r="AB36" s="79">
        <f t="shared" si="0"/>
        <v>390884338.63</v>
      </c>
      <c r="AC36" s="79">
        <v>900000</v>
      </c>
      <c r="AD36" s="79">
        <v>799166.58</v>
      </c>
      <c r="AE36" s="79"/>
      <c r="AF36" s="79">
        <f t="shared" si="1"/>
        <v>353967367.29000002</v>
      </c>
      <c r="AG36" s="80">
        <f t="shared" si="2"/>
        <v>372177323.69</v>
      </c>
      <c r="AH36" s="79"/>
      <c r="AI36" s="79"/>
      <c r="AJ36" s="79">
        <f t="shared" si="3"/>
        <v>0</v>
      </c>
      <c r="AK36" s="79">
        <v>149761714.83000001</v>
      </c>
      <c r="AL36" s="79"/>
      <c r="AM36" s="79">
        <v>35878393.229999997</v>
      </c>
      <c r="AN36" s="79">
        <v>-32851729.399999999</v>
      </c>
      <c r="AO36" s="79">
        <f t="shared" si="4"/>
        <v>3026663.8299999982</v>
      </c>
      <c r="AP36" s="79">
        <v>219388945.03</v>
      </c>
      <c r="AQ36" s="81"/>
      <c r="AR36" s="82">
        <f t="shared" si="5"/>
        <v>372177323.69000006</v>
      </c>
      <c r="AS36" s="83">
        <f t="shared" si="6"/>
        <v>372177323.69000006</v>
      </c>
    </row>
    <row r="37" spans="1:45" x14ac:dyDescent="0.2">
      <c r="A37" s="74">
        <v>30</v>
      </c>
      <c r="B37" s="75" t="s">
        <v>202</v>
      </c>
      <c r="C37" s="75" t="s">
        <v>92</v>
      </c>
      <c r="D37" s="76" t="s">
        <v>128</v>
      </c>
      <c r="E37" s="85">
        <v>9022635</v>
      </c>
      <c r="F37" s="78" t="s">
        <v>94</v>
      </c>
      <c r="G37" s="79"/>
      <c r="H37" s="79"/>
      <c r="I37" s="79">
        <v>230000</v>
      </c>
      <c r="J37" s="79">
        <v>25690490.530000001</v>
      </c>
      <c r="K37" s="79"/>
      <c r="L37" s="79">
        <f t="shared" si="9"/>
        <v>25920490.530000001</v>
      </c>
      <c r="M37" s="79"/>
      <c r="N37" s="79">
        <v>4131337000</v>
      </c>
      <c r="O37" s="79">
        <v>1749216275.0599999</v>
      </c>
      <c r="P37" s="79">
        <v>112073732.52</v>
      </c>
      <c r="Q37" s="79">
        <v>69526876.689999998</v>
      </c>
      <c r="R37" s="79">
        <v>41502542.5</v>
      </c>
      <c r="S37" s="79">
        <v>23889307.620000001</v>
      </c>
      <c r="T37" s="79">
        <v>29080650.620000001</v>
      </c>
      <c r="U37" s="79">
        <v>23738189.949999999</v>
      </c>
      <c r="V37" s="79"/>
      <c r="W37" s="79"/>
      <c r="X37" s="79"/>
      <c r="Y37" s="79">
        <v>807725.4</v>
      </c>
      <c r="Z37" s="79"/>
      <c r="AA37" s="79">
        <f t="shared" si="8"/>
        <v>4314801651.04</v>
      </c>
      <c r="AB37" s="79">
        <f t="shared" si="0"/>
        <v>1866370649.3199999</v>
      </c>
      <c r="AC37" s="79">
        <f>380000+832490</f>
        <v>1212490</v>
      </c>
      <c r="AD37" s="79">
        <v>832490</v>
      </c>
      <c r="AE37" s="79"/>
      <c r="AF37" s="79">
        <f t="shared" si="1"/>
        <v>2448811001.7200003</v>
      </c>
      <c r="AG37" s="80">
        <f t="shared" si="2"/>
        <v>2474731492.2500005</v>
      </c>
      <c r="AH37" s="79"/>
      <c r="AI37" s="79"/>
      <c r="AJ37" s="79">
        <f t="shared" si="3"/>
        <v>0</v>
      </c>
      <c r="AK37" s="79">
        <v>456284740.06999999</v>
      </c>
      <c r="AL37" s="79"/>
      <c r="AM37" s="79">
        <v>-172123530.34999999</v>
      </c>
      <c r="AN37" s="79">
        <v>-27208676.84</v>
      </c>
      <c r="AO37" s="79">
        <f t="shared" si="4"/>
        <v>-199332207.19</v>
      </c>
      <c r="AP37" s="79">
        <v>2217778959.3699999</v>
      </c>
      <c r="AQ37" s="81"/>
      <c r="AR37" s="82">
        <f t="shared" si="5"/>
        <v>2474731492.25</v>
      </c>
      <c r="AS37" s="84">
        <f t="shared" si="6"/>
        <v>2474731492.25</v>
      </c>
    </row>
    <row r="38" spans="1:45" x14ac:dyDescent="0.2">
      <c r="A38" s="74">
        <v>31</v>
      </c>
      <c r="B38" s="75" t="s">
        <v>202</v>
      </c>
      <c r="C38" s="75" t="s">
        <v>92</v>
      </c>
      <c r="D38" s="76" t="s">
        <v>129</v>
      </c>
      <c r="E38" s="85">
        <v>2169819</v>
      </c>
      <c r="F38" s="78" t="s">
        <v>94</v>
      </c>
      <c r="G38" s="79"/>
      <c r="H38" s="79"/>
      <c r="I38" s="79"/>
      <c r="J38" s="79">
        <v>20973868.73</v>
      </c>
      <c r="K38" s="79"/>
      <c r="L38" s="79">
        <f t="shared" si="9"/>
        <v>20973868.73</v>
      </c>
      <c r="M38" s="79"/>
      <c r="N38" s="79">
        <v>249844319</v>
      </c>
      <c r="O38" s="79">
        <v>42191674.5</v>
      </c>
      <c r="P38" s="79">
        <v>44853283.399999999</v>
      </c>
      <c r="Q38" s="79">
        <v>29111745.170000002</v>
      </c>
      <c r="R38" s="79">
        <v>11800000</v>
      </c>
      <c r="S38" s="79">
        <v>7866666.7199999997</v>
      </c>
      <c r="T38" s="79">
        <v>11573493</v>
      </c>
      <c r="U38" s="79">
        <v>5015792.79</v>
      </c>
      <c r="V38" s="79"/>
      <c r="W38" s="79"/>
      <c r="X38" s="79"/>
      <c r="Y38" s="79">
        <v>11400000</v>
      </c>
      <c r="Z38" s="79">
        <v>6093333.4400000004</v>
      </c>
      <c r="AA38" s="79">
        <f t="shared" si="8"/>
        <v>329471095.39999998</v>
      </c>
      <c r="AB38" s="79">
        <f t="shared" si="0"/>
        <v>90279212.620000005</v>
      </c>
      <c r="AC38" s="79">
        <v>564000</v>
      </c>
      <c r="AD38" s="79">
        <v>564000</v>
      </c>
      <c r="AE38" s="79"/>
      <c r="AF38" s="79">
        <f t="shared" si="1"/>
        <v>239191882.77999997</v>
      </c>
      <c r="AG38" s="80">
        <f t="shared" si="2"/>
        <v>260165751.50999996</v>
      </c>
      <c r="AH38" s="79"/>
      <c r="AI38" s="79"/>
      <c r="AJ38" s="79">
        <f t="shared" si="3"/>
        <v>0</v>
      </c>
      <c r="AK38" s="79">
        <v>214010702.90000001</v>
      </c>
      <c r="AL38" s="79"/>
      <c r="AM38" s="79">
        <v>-14885729.640000001</v>
      </c>
      <c r="AN38" s="79">
        <v>-10278931.77</v>
      </c>
      <c r="AO38" s="79">
        <f>AM38+AN38</f>
        <v>-25164661.41</v>
      </c>
      <c r="AP38" s="79">
        <v>71319710.019999996</v>
      </c>
      <c r="AQ38" s="81"/>
      <c r="AR38" s="82">
        <f t="shared" si="5"/>
        <v>260165751.50999999</v>
      </c>
      <c r="AS38" s="83">
        <f t="shared" si="6"/>
        <v>260165751.50999999</v>
      </c>
    </row>
    <row r="39" spans="1:45" x14ac:dyDescent="0.2">
      <c r="A39" s="74">
        <v>32</v>
      </c>
      <c r="B39" s="75" t="s">
        <v>202</v>
      </c>
      <c r="C39" s="75" t="s">
        <v>92</v>
      </c>
      <c r="D39" s="76" t="s">
        <v>130</v>
      </c>
      <c r="E39" s="85">
        <v>9022805</v>
      </c>
      <c r="F39" s="78" t="s">
        <v>94</v>
      </c>
      <c r="G39" s="79"/>
      <c r="H39" s="79"/>
      <c r="I39" s="79"/>
      <c r="J39" s="79">
        <v>328971776.87</v>
      </c>
      <c r="K39" s="79"/>
      <c r="L39" s="79">
        <f t="shared" si="9"/>
        <v>328971776.87</v>
      </c>
      <c r="M39" s="79"/>
      <c r="N39" s="79">
        <v>11489699135</v>
      </c>
      <c r="O39" s="79">
        <v>7850902503.6400003</v>
      </c>
      <c r="P39" s="79">
        <v>3607484272.6599998</v>
      </c>
      <c r="Q39" s="79">
        <v>1819659289.8599999</v>
      </c>
      <c r="R39" s="79">
        <v>820522859.08000004</v>
      </c>
      <c r="S39" s="79">
        <v>446522025.54000002</v>
      </c>
      <c r="T39" s="79">
        <v>190084136.61000001</v>
      </c>
      <c r="U39" s="79">
        <v>116520340.8</v>
      </c>
      <c r="V39" s="79"/>
      <c r="W39" s="79">
        <v>3312900</v>
      </c>
      <c r="X39" s="79"/>
      <c r="Y39" s="79">
        <f>43285850+25526832</f>
        <v>68812682</v>
      </c>
      <c r="Z39" s="79">
        <f>14514689.24+81986.52</f>
        <v>14596675.76</v>
      </c>
      <c r="AA39" s="79">
        <f t="shared" si="8"/>
        <v>16179915985.35</v>
      </c>
      <c r="AB39" s="79">
        <f t="shared" si="0"/>
        <v>10248200835.6</v>
      </c>
      <c r="AC39" s="79">
        <v>19924330</v>
      </c>
      <c r="AD39" s="79">
        <v>18681797.879999999</v>
      </c>
      <c r="AE39" s="79"/>
      <c r="AF39" s="79">
        <f t="shared" si="1"/>
        <v>5932957681.8699999</v>
      </c>
      <c r="AG39" s="80">
        <f t="shared" si="2"/>
        <v>6261929458.7399998</v>
      </c>
      <c r="AH39" s="79"/>
      <c r="AI39" s="79"/>
      <c r="AJ39" s="79">
        <f t="shared" si="3"/>
        <v>0</v>
      </c>
      <c r="AK39" s="79">
        <v>4332901083.1599998</v>
      </c>
      <c r="AL39" s="79"/>
      <c r="AM39" s="79">
        <v>-650928288.33000004</v>
      </c>
      <c r="AN39" s="79">
        <v>-600649684.5</v>
      </c>
      <c r="AO39" s="79">
        <f t="shared" si="4"/>
        <v>-1251577972.8299999</v>
      </c>
      <c r="AP39" s="79">
        <v>3180606348.4099998</v>
      </c>
      <c r="AQ39" s="81"/>
      <c r="AR39" s="82">
        <f t="shared" si="5"/>
        <v>6261929458.7399998</v>
      </c>
      <c r="AS39" s="84">
        <f t="shared" si="6"/>
        <v>6261929458.7399998</v>
      </c>
    </row>
    <row r="40" spans="1:45" x14ac:dyDescent="0.2">
      <c r="A40" s="74">
        <v>33</v>
      </c>
      <c r="B40" s="75" t="s">
        <v>202</v>
      </c>
      <c r="C40" s="75" t="s">
        <v>92</v>
      </c>
      <c r="D40" s="76" t="s">
        <v>131</v>
      </c>
      <c r="E40" s="85">
        <v>2170558</v>
      </c>
      <c r="F40" s="78" t="s">
        <v>94</v>
      </c>
      <c r="G40" s="79">
        <v>14498.93</v>
      </c>
      <c r="H40" s="79"/>
      <c r="I40" s="79"/>
      <c r="J40" s="79">
        <v>15566673.630000001</v>
      </c>
      <c r="K40" s="79"/>
      <c r="L40" s="79">
        <f t="shared" si="9"/>
        <v>15581172.560000001</v>
      </c>
      <c r="M40" s="79"/>
      <c r="N40" s="79">
        <v>53913600</v>
      </c>
      <c r="O40" s="79">
        <v>11905920.050000001</v>
      </c>
      <c r="P40" s="79">
        <v>37472702.399999999</v>
      </c>
      <c r="Q40" s="79">
        <v>27597180.68</v>
      </c>
      <c r="R40" s="79">
        <v>11800000</v>
      </c>
      <c r="S40" s="79">
        <v>9013888.9499999993</v>
      </c>
      <c r="T40" s="79">
        <v>10636566</v>
      </c>
      <c r="U40" s="79">
        <v>5162709.0999999996</v>
      </c>
      <c r="V40" s="79"/>
      <c r="W40" s="79"/>
      <c r="X40" s="79"/>
      <c r="Y40" s="79">
        <v>2551473</v>
      </c>
      <c r="Z40" s="79">
        <v>1422235.79</v>
      </c>
      <c r="AA40" s="79">
        <f t="shared" si="8"/>
        <v>116374341.40000001</v>
      </c>
      <c r="AB40" s="79">
        <f t="shared" si="0"/>
        <v>55101934.570000008</v>
      </c>
      <c r="AC40" s="79">
        <v>883000</v>
      </c>
      <c r="AD40" s="79">
        <v>756958.42</v>
      </c>
      <c r="AE40" s="79"/>
      <c r="AF40" s="79">
        <f t="shared" si="1"/>
        <v>61398448.409999996</v>
      </c>
      <c r="AG40" s="80">
        <f t="shared" si="2"/>
        <v>76979620.969999999</v>
      </c>
      <c r="AH40" s="79"/>
      <c r="AI40" s="79"/>
      <c r="AJ40" s="79">
        <f t="shared" si="3"/>
        <v>0</v>
      </c>
      <c r="AK40" s="79">
        <v>76539115.400000006</v>
      </c>
      <c r="AL40" s="79"/>
      <c r="AM40" s="79">
        <v>-15284802.460000001</v>
      </c>
      <c r="AN40" s="79">
        <v>-8256770.9800000004</v>
      </c>
      <c r="AO40" s="79">
        <f t="shared" si="4"/>
        <v>-23541573.440000001</v>
      </c>
      <c r="AP40" s="79">
        <v>23982079.010000002</v>
      </c>
      <c r="AQ40" s="81"/>
      <c r="AR40" s="82">
        <f t="shared" si="5"/>
        <v>76979620.970000014</v>
      </c>
      <c r="AS40" s="83">
        <f t="shared" si="6"/>
        <v>76979620.970000014</v>
      </c>
    </row>
    <row r="41" spans="1:45" x14ac:dyDescent="0.2">
      <c r="A41" s="74">
        <v>34</v>
      </c>
      <c r="B41" s="75" t="s">
        <v>202</v>
      </c>
      <c r="C41" s="75" t="s">
        <v>92</v>
      </c>
      <c r="D41" s="76" t="s">
        <v>132</v>
      </c>
      <c r="E41" s="85">
        <v>2169797</v>
      </c>
      <c r="F41" s="78" t="s">
        <v>94</v>
      </c>
      <c r="G41" s="79">
        <v>4116.76</v>
      </c>
      <c r="H41" s="79"/>
      <c r="I41" s="79"/>
      <c r="J41" s="79">
        <v>41239695.520000003</v>
      </c>
      <c r="K41" s="79"/>
      <c r="L41" s="79">
        <f t="shared" si="9"/>
        <v>41243812.280000001</v>
      </c>
      <c r="M41" s="79"/>
      <c r="N41" s="79">
        <v>228000000</v>
      </c>
      <c r="O41" s="79">
        <v>11400000.119999999</v>
      </c>
      <c r="P41" s="79">
        <v>64015582.200000003</v>
      </c>
      <c r="Q41" s="79">
        <v>32523112.789999999</v>
      </c>
      <c r="R41" s="79">
        <v>20375000</v>
      </c>
      <c r="S41" s="79">
        <v>17588888.949999999</v>
      </c>
      <c r="T41" s="79">
        <v>19707219</v>
      </c>
      <c r="U41" s="79">
        <v>9516401.8800000008</v>
      </c>
      <c r="V41" s="79"/>
      <c r="W41" s="79"/>
      <c r="X41" s="79"/>
      <c r="Y41" s="79">
        <v>15500000</v>
      </c>
      <c r="Z41" s="79">
        <v>3938333.34</v>
      </c>
      <c r="AA41" s="79">
        <f t="shared" si="8"/>
        <v>347597801.19999999</v>
      </c>
      <c r="AB41" s="79">
        <f t="shared" si="0"/>
        <v>74966737.079999998</v>
      </c>
      <c r="AC41" s="79">
        <v>608000</v>
      </c>
      <c r="AD41" s="79">
        <v>608000</v>
      </c>
      <c r="AE41" s="79"/>
      <c r="AF41" s="79">
        <f t="shared" si="1"/>
        <v>272631064.12</v>
      </c>
      <c r="AG41" s="80">
        <f t="shared" si="2"/>
        <v>313874876.39999998</v>
      </c>
      <c r="AH41" s="79"/>
      <c r="AI41" s="79"/>
      <c r="AJ41" s="79">
        <f t="shared" si="3"/>
        <v>0</v>
      </c>
      <c r="AK41" s="79">
        <v>301021469.39999998</v>
      </c>
      <c r="AL41" s="79"/>
      <c r="AM41" s="79">
        <v>4609719.95</v>
      </c>
      <c r="AN41" s="79">
        <v>8044281.3399999999</v>
      </c>
      <c r="AO41" s="79">
        <f t="shared" si="4"/>
        <v>12654001.289999999</v>
      </c>
      <c r="AP41" s="79">
        <v>199405.71</v>
      </c>
      <c r="AQ41" s="81"/>
      <c r="AR41" s="82">
        <f t="shared" si="5"/>
        <v>313874876.39999998</v>
      </c>
      <c r="AS41" s="83">
        <f t="shared" si="6"/>
        <v>313874876.39999998</v>
      </c>
    </row>
    <row r="42" spans="1:45" x14ac:dyDescent="0.2">
      <c r="A42" s="74">
        <v>35</v>
      </c>
      <c r="B42" s="75" t="s">
        <v>202</v>
      </c>
      <c r="C42" s="75" t="s">
        <v>92</v>
      </c>
      <c r="D42" s="76" t="s">
        <v>133</v>
      </c>
      <c r="E42" s="85">
        <v>2169746</v>
      </c>
      <c r="F42" s="78" t="s">
        <v>94</v>
      </c>
      <c r="G42" s="79"/>
      <c r="H42" s="79"/>
      <c r="I42" s="79"/>
      <c r="J42" s="79">
        <v>15474258.66</v>
      </c>
      <c r="K42" s="79"/>
      <c r="L42" s="79">
        <f t="shared" si="9"/>
        <v>15474258.66</v>
      </c>
      <c r="M42" s="79"/>
      <c r="N42" s="79">
        <v>158810000</v>
      </c>
      <c r="O42" s="79">
        <v>14991170.82</v>
      </c>
      <c r="P42" s="79">
        <v>35061985.399999999</v>
      </c>
      <c r="Q42" s="79">
        <v>29963107.620000001</v>
      </c>
      <c r="R42" s="79"/>
      <c r="S42" s="79"/>
      <c r="T42" s="79">
        <v>7382500</v>
      </c>
      <c r="U42" s="79">
        <v>3527492.38</v>
      </c>
      <c r="V42" s="79"/>
      <c r="W42" s="79"/>
      <c r="X42" s="79"/>
      <c r="Y42" s="79">
        <v>2830000</v>
      </c>
      <c r="Z42" s="79">
        <v>1231000.07</v>
      </c>
      <c r="AA42" s="79">
        <f t="shared" si="8"/>
        <v>204084485.40000001</v>
      </c>
      <c r="AB42" s="79">
        <f t="shared" si="0"/>
        <v>49712770.890000001</v>
      </c>
      <c r="AC42" s="79">
        <v>713000</v>
      </c>
      <c r="AD42" s="79">
        <v>713000</v>
      </c>
      <c r="AE42" s="79"/>
      <c r="AF42" s="79">
        <f t="shared" si="1"/>
        <v>154371714.50999999</v>
      </c>
      <c r="AG42" s="80">
        <f t="shared" si="2"/>
        <v>169845973.16999999</v>
      </c>
      <c r="AH42" s="79"/>
      <c r="AI42" s="79"/>
      <c r="AJ42" s="79">
        <f t="shared" si="3"/>
        <v>0</v>
      </c>
      <c r="AK42" s="79">
        <v>155225247.40000001</v>
      </c>
      <c r="AL42" s="79"/>
      <c r="AM42" s="79">
        <v>-16632080.369999999</v>
      </c>
      <c r="AN42" s="79">
        <v>-1950089.95</v>
      </c>
      <c r="AO42" s="79">
        <f t="shared" si="4"/>
        <v>-18582170.32</v>
      </c>
      <c r="AP42" s="79">
        <v>33202896.09</v>
      </c>
      <c r="AQ42" s="81"/>
      <c r="AR42" s="82">
        <f t="shared" si="5"/>
        <v>169845973.17000002</v>
      </c>
      <c r="AS42" s="83">
        <f t="shared" si="6"/>
        <v>169845973.17000002</v>
      </c>
    </row>
    <row r="43" spans="1:45" x14ac:dyDescent="0.2">
      <c r="A43" s="74">
        <v>36</v>
      </c>
      <c r="B43" s="75" t="s">
        <v>202</v>
      </c>
      <c r="C43" s="75" t="s">
        <v>92</v>
      </c>
      <c r="D43" s="76" t="s">
        <v>134</v>
      </c>
      <c r="E43" s="85">
        <v>2169835</v>
      </c>
      <c r="F43" s="78" t="s">
        <v>94</v>
      </c>
      <c r="G43" s="79"/>
      <c r="H43" s="79"/>
      <c r="I43" s="79"/>
      <c r="J43" s="79">
        <v>15330860.52</v>
      </c>
      <c r="K43" s="79"/>
      <c r="L43" s="79">
        <f t="shared" si="9"/>
        <v>15330860.52</v>
      </c>
      <c r="M43" s="79"/>
      <c r="N43" s="79">
        <v>201267459</v>
      </c>
      <c r="O43" s="79">
        <v>10342910.859999999</v>
      </c>
      <c r="P43" s="79">
        <v>31747871.399999999</v>
      </c>
      <c r="Q43" s="79">
        <v>23402466.690000001</v>
      </c>
      <c r="R43" s="79"/>
      <c r="S43" s="79"/>
      <c r="T43" s="79">
        <v>10018065</v>
      </c>
      <c r="U43" s="79">
        <v>5926364.6299999999</v>
      </c>
      <c r="V43" s="79"/>
      <c r="W43" s="79"/>
      <c r="X43" s="79"/>
      <c r="Y43" s="79"/>
      <c r="Z43" s="79"/>
      <c r="AA43" s="79">
        <f t="shared" si="8"/>
        <v>243033395.40000001</v>
      </c>
      <c r="AB43" s="79">
        <f t="shared" si="0"/>
        <v>39671742.18</v>
      </c>
      <c r="AC43" s="79">
        <v>1024000</v>
      </c>
      <c r="AD43" s="79">
        <v>805250.06</v>
      </c>
      <c r="AE43" s="79"/>
      <c r="AF43" s="79">
        <f t="shared" si="1"/>
        <v>203580403.16</v>
      </c>
      <c r="AG43" s="80">
        <f t="shared" si="2"/>
        <v>218911263.68000001</v>
      </c>
      <c r="AH43" s="79"/>
      <c r="AI43" s="79"/>
      <c r="AJ43" s="79">
        <f t="shared" si="3"/>
        <v>0</v>
      </c>
      <c r="AK43" s="79">
        <v>193083726.44999999</v>
      </c>
      <c r="AL43" s="79"/>
      <c r="AM43" s="79">
        <v>-10356314.189999999</v>
      </c>
      <c r="AN43" s="79">
        <v>-7303691.9800000004</v>
      </c>
      <c r="AO43" s="79">
        <f t="shared" si="4"/>
        <v>-17660006.170000002</v>
      </c>
      <c r="AP43" s="79">
        <v>43487543.399999999</v>
      </c>
      <c r="AQ43" s="81"/>
      <c r="AR43" s="82">
        <f t="shared" si="5"/>
        <v>218911263.67999998</v>
      </c>
      <c r="AS43" s="83">
        <f t="shared" si="6"/>
        <v>218911263.67999998</v>
      </c>
    </row>
    <row r="44" spans="1:45" ht="22.5" x14ac:dyDescent="0.2">
      <c r="A44" s="74">
        <v>37</v>
      </c>
      <c r="B44" s="75" t="s">
        <v>202</v>
      </c>
      <c r="C44" s="75" t="s">
        <v>135</v>
      </c>
      <c r="D44" s="76" t="s">
        <v>136</v>
      </c>
      <c r="E44" s="85">
        <v>9025383</v>
      </c>
      <c r="F44" s="78" t="s">
        <v>94</v>
      </c>
      <c r="G44" s="79"/>
      <c r="H44" s="79"/>
      <c r="I44" s="79">
        <v>28951094.440000001</v>
      </c>
      <c r="J44" s="79">
        <v>34518397.399999999</v>
      </c>
      <c r="K44" s="79"/>
      <c r="L44" s="79">
        <f t="shared" si="9"/>
        <v>63469491.840000004</v>
      </c>
      <c r="M44" s="79"/>
      <c r="N44" s="79"/>
      <c r="O44" s="79"/>
      <c r="P44" s="79">
        <v>56622429</v>
      </c>
      <c r="Q44" s="79">
        <v>38607791.439999998</v>
      </c>
      <c r="R44" s="79"/>
      <c r="S44" s="79"/>
      <c r="T44" s="79">
        <v>32291821.100000001</v>
      </c>
      <c r="U44" s="79">
        <v>20240707.539999999</v>
      </c>
      <c r="V44" s="79"/>
      <c r="W44" s="79">
        <v>62000</v>
      </c>
      <c r="X44" s="79"/>
      <c r="Y44" s="79"/>
      <c r="Z44" s="79"/>
      <c r="AA44" s="79">
        <f t="shared" si="8"/>
        <v>88976250.099999994</v>
      </c>
      <c r="AB44" s="79">
        <f t="shared" si="0"/>
        <v>58848498.979999997</v>
      </c>
      <c r="AC44" s="79">
        <v>580000</v>
      </c>
      <c r="AD44" s="79">
        <v>534166.79</v>
      </c>
      <c r="AE44" s="79"/>
      <c r="AF44" s="79">
        <f t="shared" si="1"/>
        <v>30173584.329999998</v>
      </c>
      <c r="AG44" s="80">
        <f t="shared" si="2"/>
        <v>93643076.170000002</v>
      </c>
      <c r="AH44" s="79"/>
      <c r="AI44" s="79"/>
      <c r="AJ44" s="79">
        <f t="shared" si="3"/>
        <v>0</v>
      </c>
      <c r="AK44" s="79">
        <v>51910420</v>
      </c>
      <c r="AL44" s="79"/>
      <c r="AM44" s="79">
        <v>-11966196.560000001</v>
      </c>
      <c r="AN44" s="79">
        <v>47988714.469999999</v>
      </c>
      <c r="AO44" s="79">
        <f t="shared" si="4"/>
        <v>36022517.909999996</v>
      </c>
      <c r="AP44" s="79">
        <v>5710138.2599999998</v>
      </c>
      <c r="AQ44" s="81"/>
      <c r="AR44" s="82">
        <f t="shared" si="5"/>
        <v>93643076.170000002</v>
      </c>
      <c r="AS44" s="84">
        <f t="shared" si="6"/>
        <v>93643076.170000002</v>
      </c>
    </row>
    <row r="45" spans="1:45" x14ac:dyDescent="0.2">
      <c r="A45" s="74">
        <v>38</v>
      </c>
      <c r="B45" s="75" t="s">
        <v>202</v>
      </c>
      <c r="C45" s="75" t="s">
        <v>120</v>
      </c>
      <c r="D45" s="76" t="s">
        <v>137</v>
      </c>
      <c r="E45" s="85">
        <v>9022708</v>
      </c>
      <c r="F45" s="78" t="s">
        <v>94</v>
      </c>
      <c r="G45" s="79"/>
      <c r="H45" s="79"/>
      <c r="I45" s="79"/>
      <c r="J45" s="79">
        <v>22889438.699999999</v>
      </c>
      <c r="K45" s="79"/>
      <c r="L45" s="79">
        <f t="shared" si="9"/>
        <v>22889438.699999999</v>
      </c>
      <c r="M45" s="79"/>
      <c r="N45" s="79">
        <v>622539323</v>
      </c>
      <c r="O45" s="79">
        <v>100031306.86</v>
      </c>
      <c r="P45" s="79">
        <v>23192292.960000001</v>
      </c>
      <c r="Q45" s="79">
        <v>20274951.309999999</v>
      </c>
      <c r="R45" s="79">
        <v>20360000</v>
      </c>
      <c r="S45" s="79">
        <v>16880937.579999998</v>
      </c>
      <c r="T45" s="79">
        <v>9996105.0999999996</v>
      </c>
      <c r="U45" s="79">
        <v>5666480.4299999997</v>
      </c>
      <c r="V45" s="79"/>
      <c r="W45" s="79"/>
      <c r="X45" s="79"/>
      <c r="Y45" s="79">
        <f>4000000+3304600</f>
        <v>7304600</v>
      </c>
      <c r="Z45" s="79">
        <f>1100000.22+2602724.81</f>
        <v>3702725.0300000003</v>
      </c>
      <c r="AA45" s="79">
        <f t="shared" si="8"/>
        <v>683392321.06000006</v>
      </c>
      <c r="AB45" s="79">
        <f t="shared" si="0"/>
        <v>146556401.21000001</v>
      </c>
      <c r="AC45" s="79">
        <v>650000</v>
      </c>
      <c r="AD45" s="79">
        <v>604166.79</v>
      </c>
      <c r="AE45" s="79"/>
      <c r="AF45" s="79">
        <f t="shared" si="1"/>
        <v>536881753.06000006</v>
      </c>
      <c r="AG45" s="80">
        <f t="shared" si="2"/>
        <v>559771191.76000011</v>
      </c>
      <c r="AH45" s="79"/>
      <c r="AI45" s="79"/>
      <c r="AJ45" s="79">
        <f t="shared" si="3"/>
        <v>0</v>
      </c>
      <c r="AK45" s="79">
        <v>151878198.05000001</v>
      </c>
      <c r="AL45" s="79"/>
      <c r="AM45" s="79">
        <v>-2030174.32</v>
      </c>
      <c r="AN45" s="79">
        <v>-3003786.77</v>
      </c>
      <c r="AO45" s="79">
        <f t="shared" si="4"/>
        <v>-5033961.09</v>
      </c>
      <c r="AP45" s="79">
        <v>412926954.80000001</v>
      </c>
      <c r="AQ45" s="81"/>
      <c r="AR45" s="82">
        <f t="shared" si="5"/>
        <v>559771191.75999999</v>
      </c>
      <c r="AS45" s="83">
        <f t="shared" si="6"/>
        <v>559771191.75999999</v>
      </c>
    </row>
    <row r="46" spans="1:45" x14ac:dyDescent="0.2">
      <c r="A46" s="74">
        <v>39</v>
      </c>
      <c r="B46" s="75" t="s">
        <v>202</v>
      </c>
      <c r="C46" s="75" t="s">
        <v>92</v>
      </c>
      <c r="D46" s="76" t="s">
        <v>138</v>
      </c>
      <c r="E46" s="85">
        <v>9023216</v>
      </c>
      <c r="F46" s="78" t="s">
        <v>94</v>
      </c>
      <c r="G46" s="79"/>
      <c r="H46" s="79"/>
      <c r="I46" s="79">
        <v>474000</v>
      </c>
      <c r="J46" s="79">
        <v>28991010</v>
      </c>
      <c r="K46" s="79"/>
      <c r="L46" s="79">
        <f t="shared" si="9"/>
        <v>29465010</v>
      </c>
      <c r="M46" s="79"/>
      <c r="N46" s="79">
        <v>1239764925</v>
      </c>
      <c r="O46" s="79">
        <v>557834201.88</v>
      </c>
      <c r="P46" s="79">
        <v>109139136</v>
      </c>
      <c r="Q46" s="79">
        <v>67889603.629999995</v>
      </c>
      <c r="R46" s="79">
        <v>20000000</v>
      </c>
      <c r="S46" s="79">
        <v>13055555.66</v>
      </c>
      <c r="T46" s="79">
        <v>51451504.5</v>
      </c>
      <c r="U46" s="79">
        <v>22774259.350000001</v>
      </c>
      <c r="V46" s="79"/>
      <c r="W46" s="79"/>
      <c r="X46" s="79">
        <v>9088223898</v>
      </c>
      <c r="Y46" s="79">
        <v>22131100</v>
      </c>
      <c r="Z46" s="79">
        <v>22131100</v>
      </c>
      <c r="AA46" s="79">
        <f t="shared" si="8"/>
        <v>10530710563.5</v>
      </c>
      <c r="AB46" s="79">
        <f t="shared" si="0"/>
        <v>683684720.51999998</v>
      </c>
      <c r="AC46" s="79">
        <v>1597000</v>
      </c>
      <c r="AD46" s="79">
        <v>1404499.92</v>
      </c>
      <c r="AE46" s="79"/>
      <c r="AF46" s="79">
        <f t="shared" si="1"/>
        <v>9847218343.0599995</v>
      </c>
      <c r="AG46" s="80">
        <f t="shared" si="2"/>
        <v>9876683353.0599995</v>
      </c>
      <c r="AH46" s="79">
        <v>40082521.039999999</v>
      </c>
      <c r="AI46" s="79"/>
      <c r="AJ46" s="79">
        <f t="shared" si="3"/>
        <v>40082521.039999999</v>
      </c>
      <c r="AK46" s="79">
        <v>5587102691.2700005</v>
      </c>
      <c r="AL46" s="79"/>
      <c r="AM46" s="79">
        <v>4052291465.04</v>
      </c>
      <c r="AN46" s="79">
        <v>-44708026.340000004</v>
      </c>
      <c r="AO46" s="79">
        <f t="shared" si="4"/>
        <v>4007583438.6999998</v>
      </c>
      <c r="AP46" s="79">
        <v>241914702.05000001</v>
      </c>
      <c r="AQ46" s="81"/>
      <c r="AR46" s="82">
        <f t="shared" si="5"/>
        <v>9836600832.0200005</v>
      </c>
      <c r="AS46" s="83">
        <f t="shared" si="6"/>
        <v>9876683353.0600014</v>
      </c>
    </row>
    <row r="47" spans="1:45" x14ac:dyDescent="0.2">
      <c r="A47" s="74">
        <v>40</v>
      </c>
      <c r="B47" s="75" t="s">
        <v>202</v>
      </c>
      <c r="C47" s="75" t="s">
        <v>92</v>
      </c>
      <c r="D47" s="76" t="s">
        <v>139</v>
      </c>
      <c r="E47" s="85">
        <v>9022287</v>
      </c>
      <c r="F47" s="78" t="s">
        <v>94</v>
      </c>
      <c r="G47" s="79"/>
      <c r="H47" s="79"/>
      <c r="I47" s="79"/>
      <c r="J47" s="79">
        <v>9114388.3200000003</v>
      </c>
      <c r="K47" s="79"/>
      <c r="L47" s="79">
        <f t="shared" si="9"/>
        <v>9114388.3200000003</v>
      </c>
      <c r="M47" s="79"/>
      <c r="N47" s="79">
        <v>107361800</v>
      </c>
      <c r="O47" s="79">
        <v>25299128.579999998</v>
      </c>
      <c r="P47" s="79">
        <v>44446768.799999997</v>
      </c>
      <c r="Q47" s="79">
        <v>31205624.43</v>
      </c>
      <c r="R47" s="79">
        <v>21400000</v>
      </c>
      <c r="S47" s="79">
        <v>11888888.800000001</v>
      </c>
      <c r="T47" s="79">
        <v>21460107.489999998</v>
      </c>
      <c r="U47" s="79">
        <v>11740976.58</v>
      </c>
      <c r="V47" s="79"/>
      <c r="W47" s="79">
        <v>92668098.950000003</v>
      </c>
      <c r="X47" s="79"/>
      <c r="Y47" s="79"/>
      <c r="Z47" s="79"/>
      <c r="AA47" s="79">
        <f t="shared" si="8"/>
        <v>287336775.24000001</v>
      </c>
      <c r="AB47" s="79">
        <f t="shared" si="0"/>
        <v>80134618.390000001</v>
      </c>
      <c r="AC47" s="79">
        <v>3648025</v>
      </c>
      <c r="AD47" s="79">
        <v>3453754.52</v>
      </c>
      <c r="AE47" s="79"/>
      <c r="AF47" s="79">
        <f t="shared" si="1"/>
        <v>207396427.33000001</v>
      </c>
      <c r="AG47" s="80">
        <f t="shared" si="2"/>
        <v>216510815.65000001</v>
      </c>
      <c r="AH47" s="79">
        <v>1327704.3</v>
      </c>
      <c r="AI47" s="79"/>
      <c r="AJ47" s="79">
        <f t="shared" si="3"/>
        <v>1327704.3</v>
      </c>
      <c r="AK47" s="79">
        <v>213647838.46000001</v>
      </c>
      <c r="AL47" s="79"/>
      <c r="AM47" s="79">
        <v>3707473.85</v>
      </c>
      <c r="AN47" s="79">
        <v>-4662449.6500000004</v>
      </c>
      <c r="AO47" s="79">
        <f t="shared" si="4"/>
        <v>-954975.80000000028</v>
      </c>
      <c r="AP47" s="79">
        <v>2490248.69</v>
      </c>
      <c r="AQ47" s="81"/>
      <c r="AR47" s="82">
        <f t="shared" si="5"/>
        <v>215183111.34999999</v>
      </c>
      <c r="AS47" s="84">
        <f t="shared" si="6"/>
        <v>216510815.65000001</v>
      </c>
    </row>
    <row r="48" spans="1:45" x14ac:dyDescent="0.2">
      <c r="A48" s="74">
        <v>41</v>
      </c>
      <c r="B48" s="75" t="s">
        <v>202</v>
      </c>
      <c r="C48" s="75" t="s">
        <v>92</v>
      </c>
      <c r="D48" s="76" t="s">
        <v>140</v>
      </c>
      <c r="E48" s="85">
        <v>9022279</v>
      </c>
      <c r="F48" s="78" t="s">
        <v>94</v>
      </c>
      <c r="G48" s="79"/>
      <c r="H48" s="79"/>
      <c r="I48" s="79"/>
      <c r="J48" s="79">
        <v>9214323</v>
      </c>
      <c r="K48" s="79"/>
      <c r="L48" s="79">
        <f t="shared" si="9"/>
        <v>9214323</v>
      </c>
      <c r="M48" s="79"/>
      <c r="N48" s="79">
        <v>239953000</v>
      </c>
      <c r="O48" s="79">
        <v>176659168.81999999</v>
      </c>
      <c r="P48" s="79">
        <v>56661283.890000001</v>
      </c>
      <c r="Q48" s="79">
        <v>33724628.82</v>
      </c>
      <c r="R48" s="79"/>
      <c r="S48" s="79"/>
      <c r="T48" s="79">
        <v>7219629</v>
      </c>
      <c r="U48" s="79">
        <v>4820467.5</v>
      </c>
      <c r="V48" s="79">
        <v>550281000</v>
      </c>
      <c r="W48" s="79">
        <v>1372015</v>
      </c>
      <c r="X48" s="79"/>
      <c r="Y48" s="79"/>
      <c r="Z48" s="79"/>
      <c r="AA48" s="79">
        <f t="shared" si="8"/>
        <v>855486927.88999999</v>
      </c>
      <c r="AB48" s="79">
        <f t="shared" si="0"/>
        <v>215204265.13999999</v>
      </c>
      <c r="AC48" s="79">
        <v>967500</v>
      </c>
      <c r="AD48" s="79">
        <v>921666.79</v>
      </c>
      <c r="AE48" s="79"/>
      <c r="AF48" s="79">
        <f t="shared" si="1"/>
        <v>640328495.96000004</v>
      </c>
      <c r="AG48" s="80">
        <f t="shared" si="2"/>
        <v>649542818.96000004</v>
      </c>
      <c r="AH48" s="79">
        <v>877317.58</v>
      </c>
      <c r="AI48" s="79"/>
      <c r="AJ48" s="79">
        <f t="shared" si="3"/>
        <v>877317.58</v>
      </c>
      <c r="AK48" s="79">
        <v>89985504.400000006</v>
      </c>
      <c r="AL48" s="79"/>
      <c r="AM48" s="79">
        <v>16701271.109999999</v>
      </c>
      <c r="AN48" s="79">
        <v>-13658518.74</v>
      </c>
      <c r="AO48" s="79">
        <f t="shared" si="4"/>
        <v>3042752.3699999992</v>
      </c>
      <c r="AP48" s="79">
        <v>555637244.61000001</v>
      </c>
      <c r="AQ48" s="81"/>
      <c r="AR48" s="82">
        <f t="shared" si="5"/>
        <v>648665501.38</v>
      </c>
      <c r="AS48" s="83">
        <f t="shared" si="6"/>
        <v>649542818.96000004</v>
      </c>
    </row>
    <row r="49" spans="1:45" x14ac:dyDescent="0.2">
      <c r="A49" s="74">
        <v>42</v>
      </c>
      <c r="B49" s="75" t="s">
        <v>202</v>
      </c>
      <c r="C49" s="75" t="s">
        <v>92</v>
      </c>
      <c r="D49" s="76" t="s">
        <v>141</v>
      </c>
      <c r="E49" s="85">
        <v>9023089</v>
      </c>
      <c r="F49" s="78" t="s">
        <v>94</v>
      </c>
      <c r="G49" s="79"/>
      <c r="H49" s="79"/>
      <c r="I49" s="79">
        <v>3632303.68</v>
      </c>
      <c r="J49" s="79">
        <v>160430195.97</v>
      </c>
      <c r="K49" s="79"/>
      <c r="L49" s="79">
        <f t="shared" si="9"/>
        <v>164062499.65000001</v>
      </c>
      <c r="M49" s="79"/>
      <c r="N49" s="79">
        <v>11130004899.83</v>
      </c>
      <c r="O49" s="79">
        <v>6857899753.6000004</v>
      </c>
      <c r="P49" s="79">
        <v>437031666</v>
      </c>
      <c r="Q49" s="79">
        <v>229454537.44999999</v>
      </c>
      <c r="R49" s="79">
        <v>81840000</v>
      </c>
      <c r="S49" s="79">
        <v>48876666.810000002</v>
      </c>
      <c r="T49" s="79">
        <v>98447808</v>
      </c>
      <c r="U49" s="79">
        <v>73730731.25</v>
      </c>
      <c r="V49" s="79"/>
      <c r="W49" s="79"/>
      <c r="X49" s="79"/>
      <c r="Y49" s="79">
        <v>120529963.40000001</v>
      </c>
      <c r="Z49" s="79">
        <v>41964084.710000001</v>
      </c>
      <c r="AA49" s="79">
        <f t="shared" si="8"/>
        <v>11867854337.23</v>
      </c>
      <c r="AB49" s="79">
        <f t="shared" si="0"/>
        <v>7251925773.8200006</v>
      </c>
      <c r="AC49" s="79">
        <v>3273500</v>
      </c>
      <c r="AD49" s="79">
        <v>2911832.89</v>
      </c>
      <c r="AE49" s="79"/>
      <c r="AF49" s="79">
        <f t="shared" si="1"/>
        <v>4616290230.5199986</v>
      </c>
      <c r="AG49" s="80">
        <f t="shared" si="2"/>
        <v>4780352730.1699982</v>
      </c>
      <c r="AH49" s="79">
        <v>2244037.83</v>
      </c>
      <c r="AI49" s="79"/>
      <c r="AJ49" s="79">
        <f t="shared" si="3"/>
        <v>2244037.83</v>
      </c>
      <c r="AK49" s="79">
        <v>1386441262.3399999</v>
      </c>
      <c r="AL49" s="79"/>
      <c r="AM49" s="79">
        <v>-1131895306.48</v>
      </c>
      <c r="AN49" s="79">
        <v>-218460158.46000001</v>
      </c>
      <c r="AO49" s="79">
        <f t="shared" si="4"/>
        <v>-1350355464.9400001</v>
      </c>
      <c r="AP49" s="79">
        <v>4742022894.9399996</v>
      </c>
      <c r="AQ49" s="81"/>
      <c r="AR49" s="82">
        <f t="shared" si="5"/>
        <v>4778108692.3399992</v>
      </c>
      <c r="AS49" s="83">
        <f t="shared" si="6"/>
        <v>4780352730.1699991</v>
      </c>
    </row>
    <row r="50" spans="1:45" x14ac:dyDescent="0.2">
      <c r="A50" s="74">
        <v>43</v>
      </c>
      <c r="B50" s="75" t="s">
        <v>202</v>
      </c>
      <c r="C50" s="75" t="s">
        <v>142</v>
      </c>
      <c r="D50" s="76" t="s">
        <v>143</v>
      </c>
      <c r="E50" s="85">
        <v>9024646</v>
      </c>
      <c r="F50" s="78" t="s">
        <v>94</v>
      </c>
      <c r="G50" s="79"/>
      <c r="H50" s="79"/>
      <c r="I50" s="79"/>
      <c r="J50" s="79">
        <v>3829064</v>
      </c>
      <c r="K50" s="79"/>
      <c r="L50" s="79">
        <f t="shared" si="9"/>
        <v>3829064</v>
      </c>
      <c r="M50" s="79"/>
      <c r="N50" s="79">
        <v>499660000</v>
      </c>
      <c r="O50" s="79">
        <v>384738199.81999999</v>
      </c>
      <c r="P50" s="79">
        <v>10760948</v>
      </c>
      <c r="Q50" s="79">
        <v>5837512.5700000003</v>
      </c>
      <c r="R50" s="79"/>
      <c r="S50" s="79"/>
      <c r="T50" s="79">
        <v>8467335.2100000009</v>
      </c>
      <c r="U50" s="79">
        <v>3286981.31</v>
      </c>
      <c r="V50" s="79"/>
      <c r="W50" s="79">
        <v>8898934</v>
      </c>
      <c r="X50" s="79"/>
      <c r="Y50" s="79">
        <v>8187075</v>
      </c>
      <c r="Z50" s="79">
        <v>7255946.7400000002</v>
      </c>
      <c r="AA50" s="79">
        <f t="shared" si="8"/>
        <v>535974292.20999998</v>
      </c>
      <c r="AB50" s="79">
        <f t="shared" si="0"/>
        <v>401118640.44</v>
      </c>
      <c r="AC50" s="79">
        <v>475000</v>
      </c>
      <c r="AD50" s="79">
        <v>429166.79</v>
      </c>
      <c r="AE50" s="79"/>
      <c r="AF50" s="79">
        <f t="shared" si="1"/>
        <v>134901484.97999999</v>
      </c>
      <c r="AG50" s="80">
        <f t="shared" si="2"/>
        <v>138730548.97999999</v>
      </c>
      <c r="AH50" s="79"/>
      <c r="AI50" s="79"/>
      <c r="AJ50" s="79">
        <f t="shared" si="3"/>
        <v>0</v>
      </c>
      <c r="AK50" s="79">
        <v>75650415.819999993</v>
      </c>
      <c r="AL50" s="79"/>
      <c r="AM50" s="79">
        <v>-58617176.869999997</v>
      </c>
      <c r="AN50" s="79">
        <v>-8266473.2199999997</v>
      </c>
      <c r="AO50" s="79">
        <f t="shared" si="4"/>
        <v>-66883650.089999996</v>
      </c>
      <c r="AP50" s="79">
        <v>129963783.25</v>
      </c>
      <c r="AQ50" s="81"/>
      <c r="AR50" s="82">
        <f t="shared" si="5"/>
        <v>138730548.97999999</v>
      </c>
      <c r="AS50" s="83">
        <f t="shared" si="6"/>
        <v>138730548.97999999</v>
      </c>
    </row>
    <row r="51" spans="1:45" x14ac:dyDescent="0.2">
      <c r="A51" s="74">
        <v>44</v>
      </c>
      <c r="B51" s="75" t="s">
        <v>202</v>
      </c>
      <c r="C51" s="75" t="s">
        <v>120</v>
      </c>
      <c r="D51" s="76" t="s">
        <v>144</v>
      </c>
      <c r="E51" s="85">
        <v>9022694</v>
      </c>
      <c r="F51" s="78" t="s">
        <v>94</v>
      </c>
      <c r="G51" s="79"/>
      <c r="H51" s="79"/>
      <c r="I51" s="79"/>
      <c r="J51" s="79">
        <v>7174169</v>
      </c>
      <c r="K51" s="79"/>
      <c r="L51" s="79">
        <f t="shared" si="9"/>
        <v>7174169</v>
      </c>
      <c r="M51" s="79"/>
      <c r="N51" s="79">
        <v>1075000000</v>
      </c>
      <c r="O51" s="79">
        <v>430000000.31999999</v>
      </c>
      <c r="P51" s="79">
        <v>31730600.219999999</v>
      </c>
      <c r="Q51" s="79">
        <v>22201764.449999999</v>
      </c>
      <c r="R51" s="79"/>
      <c r="S51" s="79"/>
      <c r="T51" s="79">
        <v>10059757.35</v>
      </c>
      <c r="U51" s="79">
        <v>5276481.88</v>
      </c>
      <c r="V51" s="79"/>
      <c r="W51" s="79">
        <v>12192528.199999999</v>
      </c>
      <c r="X51" s="79"/>
      <c r="Y51" s="79">
        <v>3193000</v>
      </c>
      <c r="Z51" s="79">
        <v>548021.97</v>
      </c>
      <c r="AA51" s="79">
        <f t="shared" si="8"/>
        <v>1132175885.77</v>
      </c>
      <c r="AB51" s="79">
        <f t="shared" si="0"/>
        <v>458026268.62</v>
      </c>
      <c r="AC51" s="79">
        <v>750000</v>
      </c>
      <c r="AD51" s="79">
        <v>572500.04</v>
      </c>
      <c r="AE51" s="79"/>
      <c r="AF51" s="79">
        <f t="shared" si="1"/>
        <v>674327117.11000001</v>
      </c>
      <c r="AG51" s="80">
        <f t="shared" si="2"/>
        <v>681501286.11000001</v>
      </c>
      <c r="AH51" s="79">
        <v>5432664</v>
      </c>
      <c r="AI51" s="79"/>
      <c r="AJ51" s="79">
        <f t="shared" si="3"/>
        <v>5432664</v>
      </c>
      <c r="AK51" s="79">
        <v>139719505.19999999</v>
      </c>
      <c r="AL51" s="79"/>
      <c r="AM51" s="79">
        <v>-109769507.83</v>
      </c>
      <c r="AN51" s="79">
        <v>-31997314.489999998</v>
      </c>
      <c r="AO51" s="79">
        <f t="shared" si="4"/>
        <v>-141766822.31999999</v>
      </c>
      <c r="AP51" s="79">
        <v>678115939.23000002</v>
      </c>
      <c r="AQ51" s="81"/>
      <c r="AR51" s="82">
        <f t="shared" si="5"/>
        <v>676068622.11000001</v>
      </c>
      <c r="AS51" s="84">
        <f t="shared" si="6"/>
        <v>681501286.11000001</v>
      </c>
    </row>
    <row r="52" spans="1:45" ht="22.5" x14ac:dyDescent="0.2">
      <c r="A52" s="74">
        <v>45</v>
      </c>
      <c r="B52" s="75" t="s">
        <v>202</v>
      </c>
      <c r="C52" s="75" t="s">
        <v>135</v>
      </c>
      <c r="D52" s="76" t="s">
        <v>145</v>
      </c>
      <c r="E52" s="85">
        <v>9022619</v>
      </c>
      <c r="F52" s="78" t="s">
        <v>94</v>
      </c>
      <c r="G52" s="79"/>
      <c r="H52" s="79"/>
      <c r="I52" s="79"/>
      <c r="J52" s="79">
        <v>19265349</v>
      </c>
      <c r="K52" s="79"/>
      <c r="L52" s="79">
        <f t="shared" si="9"/>
        <v>19265349</v>
      </c>
      <c r="M52" s="79"/>
      <c r="N52" s="79">
        <v>935600000</v>
      </c>
      <c r="O52" s="79">
        <v>804239999.64999998</v>
      </c>
      <c r="P52" s="79">
        <v>28598137.850000001</v>
      </c>
      <c r="Q52" s="79">
        <v>16117437.720000001</v>
      </c>
      <c r="R52" s="79"/>
      <c r="S52" s="79"/>
      <c r="T52" s="79">
        <v>32376025.359999999</v>
      </c>
      <c r="U52" s="79">
        <v>8056501.6399999997</v>
      </c>
      <c r="V52" s="79"/>
      <c r="W52" s="79">
        <v>7523964</v>
      </c>
      <c r="X52" s="79"/>
      <c r="Y52" s="79">
        <v>330000</v>
      </c>
      <c r="Z52" s="79">
        <v>202812.5</v>
      </c>
      <c r="AA52" s="79">
        <f t="shared" si="8"/>
        <v>1004428127.21</v>
      </c>
      <c r="AB52" s="79">
        <f t="shared" si="0"/>
        <v>828616751.50999999</v>
      </c>
      <c r="AC52" s="79">
        <v>533000</v>
      </c>
      <c r="AD52" s="79">
        <v>487166.79</v>
      </c>
      <c r="AE52" s="79"/>
      <c r="AF52" s="79">
        <f t="shared" si="1"/>
        <v>175857208.91000006</v>
      </c>
      <c r="AG52" s="80">
        <f t="shared" si="2"/>
        <v>195122557.91000006</v>
      </c>
      <c r="AH52" s="79"/>
      <c r="AI52" s="79"/>
      <c r="AJ52" s="79">
        <f t="shared" si="3"/>
        <v>0</v>
      </c>
      <c r="AK52" s="79">
        <v>99182645.489999995</v>
      </c>
      <c r="AL52" s="79"/>
      <c r="AM52" s="79">
        <v>-117474987.18000001</v>
      </c>
      <c r="AN52" s="79">
        <v>-10617220.859999999</v>
      </c>
      <c r="AO52" s="79">
        <f t="shared" si="4"/>
        <v>-128092208.04000001</v>
      </c>
      <c r="AP52" s="79">
        <v>224032120.46000001</v>
      </c>
      <c r="AQ52" s="81"/>
      <c r="AR52" s="82">
        <f t="shared" si="5"/>
        <v>195122557.91</v>
      </c>
      <c r="AS52" s="84">
        <f t="shared" si="6"/>
        <v>195122557.91</v>
      </c>
    </row>
    <row r="53" spans="1:45" x14ac:dyDescent="0.2">
      <c r="A53" s="74">
        <v>46</v>
      </c>
      <c r="B53" s="75" t="s">
        <v>202</v>
      </c>
      <c r="C53" s="75" t="s">
        <v>92</v>
      </c>
      <c r="D53" s="76" t="s">
        <v>146</v>
      </c>
      <c r="E53" s="85">
        <v>9024972</v>
      </c>
      <c r="F53" s="78" t="s">
        <v>94</v>
      </c>
      <c r="G53" s="79"/>
      <c r="H53" s="79"/>
      <c r="I53" s="79">
        <v>250000</v>
      </c>
      <c r="J53" s="79">
        <v>7406522</v>
      </c>
      <c r="K53" s="79"/>
      <c r="L53" s="79">
        <f t="shared" si="9"/>
        <v>7656522</v>
      </c>
      <c r="M53" s="79"/>
      <c r="N53" s="79">
        <v>300273200</v>
      </c>
      <c r="O53" s="79">
        <v>150097089.56</v>
      </c>
      <c r="P53" s="79">
        <v>33378635</v>
      </c>
      <c r="Q53" s="79">
        <v>30425609</v>
      </c>
      <c r="R53" s="79">
        <v>21400000</v>
      </c>
      <c r="S53" s="79">
        <v>10997222.140000001</v>
      </c>
      <c r="T53" s="79">
        <v>34020375.549999997</v>
      </c>
      <c r="U53" s="79">
        <v>23604586.010000002</v>
      </c>
      <c r="V53" s="79"/>
      <c r="W53" s="79">
        <v>49490318.729999997</v>
      </c>
      <c r="X53" s="79"/>
      <c r="Y53" s="79">
        <f>1700000+6665050</f>
        <v>8365050</v>
      </c>
      <c r="Z53" s="79">
        <v>1696557.96</v>
      </c>
      <c r="AA53" s="79">
        <f t="shared" si="8"/>
        <v>446927579.28000003</v>
      </c>
      <c r="AB53" s="79">
        <f t="shared" si="0"/>
        <v>216821064.66999999</v>
      </c>
      <c r="AC53" s="79">
        <v>629500</v>
      </c>
      <c r="AD53" s="79">
        <v>536166.52</v>
      </c>
      <c r="AE53" s="79"/>
      <c r="AF53" s="79">
        <f t="shared" si="1"/>
        <v>230199848.09000003</v>
      </c>
      <c r="AG53" s="80">
        <f t="shared" si="2"/>
        <v>237856370.09000003</v>
      </c>
      <c r="AH53" s="79"/>
      <c r="AI53" s="79"/>
      <c r="AJ53" s="79">
        <f t="shared" si="3"/>
        <v>0</v>
      </c>
      <c r="AK53" s="79">
        <v>241930105.93000001</v>
      </c>
      <c r="AL53" s="79"/>
      <c r="AM53" s="79">
        <v>-91922012.959999993</v>
      </c>
      <c r="AN53" s="79">
        <v>-14976066.880000001</v>
      </c>
      <c r="AO53" s="79">
        <f t="shared" si="4"/>
        <v>-106898079.83999999</v>
      </c>
      <c r="AP53" s="79">
        <v>102824344</v>
      </c>
      <c r="AQ53" s="81"/>
      <c r="AR53" s="82">
        <f t="shared" si="5"/>
        <v>237856370.09000003</v>
      </c>
      <c r="AS53" s="83">
        <f t="shared" si="6"/>
        <v>237856370.09000003</v>
      </c>
    </row>
    <row r="54" spans="1:45" x14ac:dyDescent="0.2">
      <c r="A54" s="74">
        <v>47</v>
      </c>
      <c r="B54" s="75" t="s">
        <v>202</v>
      </c>
      <c r="C54" s="75" t="s">
        <v>92</v>
      </c>
      <c r="D54" s="76" t="s">
        <v>147</v>
      </c>
      <c r="E54" s="85">
        <v>9023046</v>
      </c>
      <c r="F54" s="78" t="s">
        <v>94</v>
      </c>
      <c r="G54" s="79"/>
      <c r="H54" s="79"/>
      <c r="I54" s="79">
        <v>1739000</v>
      </c>
      <c r="J54" s="79">
        <v>14949867</v>
      </c>
      <c r="K54" s="79"/>
      <c r="L54" s="79">
        <f t="shared" si="9"/>
        <v>16688867</v>
      </c>
      <c r="M54" s="79"/>
      <c r="N54" s="79"/>
      <c r="O54" s="79"/>
      <c r="P54" s="79">
        <v>205922644.52000001</v>
      </c>
      <c r="Q54" s="79">
        <v>173236893.75</v>
      </c>
      <c r="R54" s="79">
        <v>36211075</v>
      </c>
      <c r="S54" s="79">
        <v>13956351.9</v>
      </c>
      <c r="T54" s="79">
        <v>38204065.170000002</v>
      </c>
      <c r="U54" s="79">
        <v>31529328.109999999</v>
      </c>
      <c r="V54" s="79"/>
      <c r="W54" s="79">
        <v>8131172.54</v>
      </c>
      <c r="X54" s="79"/>
      <c r="Y54" s="79">
        <v>22291132.120000001</v>
      </c>
      <c r="Z54" s="79">
        <v>8799885.1300000008</v>
      </c>
      <c r="AA54" s="79">
        <f t="shared" si="8"/>
        <v>310760089.35000002</v>
      </c>
      <c r="AB54" s="79">
        <f t="shared" si="0"/>
        <v>227522458.88999999</v>
      </c>
      <c r="AC54" s="79">
        <v>10710600</v>
      </c>
      <c r="AD54" s="79">
        <v>5950966.71</v>
      </c>
      <c r="AE54" s="79"/>
      <c r="AF54" s="79">
        <f t="shared" si="1"/>
        <v>87997263.750000045</v>
      </c>
      <c r="AG54" s="80">
        <f t="shared" si="2"/>
        <v>104686130.75000004</v>
      </c>
      <c r="AH54" s="79">
        <v>17715174</v>
      </c>
      <c r="AI54" s="79"/>
      <c r="AJ54" s="79">
        <f t="shared" si="3"/>
        <v>17715174</v>
      </c>
      <c r="AK54" s="79">
        <v>272808362.89999998</v>
      </c>
      <c r="AL54" s="79"/>
      <c r="AM54" s="79">
        <v>-171725395.43000001</v>
      </c>
      <c r="AN54" s="79">
        <v>-22773882.300000001</v>
      </c>
      <c r="AO54" s="79">
        <f t="shared" si="4"/>
        <v>-194499277.73000002</v>
      </c>
      <c r="AP54" s="79">
        <v>8661871.5800000001</v>
      </c>
      <c r="AQ54" s="81"/>
      <c r="AR54" s="82">
        <f t="shared" si="5"/>
        <v>86970956.749999955</v>
      </c>
      <c r="AS54" s="84">
        <f t="shared" si="6"/>
        <v>104686130.74999996</v>
      </c>
    </row>
    <row r="55" spans="1:45" x14ac:dyDescent="0.2">
      <c r="A55" s="74">
        <v>48</v>
      </c>
      <c r="B55" s="75" t="s">
        <v>202</v>
      </c>
      <c r="C55" s="75" t="s">
        <v>92</v>
      </c>
      <c r="D55" s="76" t="s">
        <v>148</v>
      </c>
      <c r="E55" s="85">
        <v>9022201</v>
      </c>
      <c r="F55" s="78" t="s">
        <v>94</v>
      </c>
      <c r="G55" s="79"/>
      <c r="H55" s="79"/>
      <c r="I55" s="79">
        <v>79000</v>
      </c>
      <c r="J55" s="79">
        <v>43064955.899999999</v>
      </c>
      <c r="K55" s="79"/>
      <c r="L55" s="79">
        <f t="shared" si="9"/>
        <v>43143955.899999999</v>
      </c>
      <c r="M55" s="79">
        <f>L55+L57+L58+L59+L60+L61+L62+L64+L65+L66+L67+L69+L72+L74+L75+L76+L77</f>
        <v>701818085.6400001</v>
      </c>
      <c r="N55" s="79">
        <v>857221600</v>
      </c>
      <c r="O55" s="79">
        <v>610833574.07000005</v>
      </c>
      <c r="P55" s="79">
        <v>36186406.200000003</v>
      </c>
      <c r="Q55" s="79">
        <v>24070683.039999999</v>
      </c>
      <c r="R55" s="79"/>
      <c r="S55" s="79"/>
      <c r="T55" s="79">
        <v>30242255.93</v>
      </c>
      <c r="U55" s="79">
        <v>17828181.289999999</v>
      </c>
      <c r="V55" s="79"/>
      <c r="W55" s="79">
        <v>2103780</v>
      </c>
      <c r="X55" s="79"/>
      <c r="Y55" s="79">
        <v>5680072</v>
      </c>
      <c r="Z55" s="79">
        <v>5584738.8799999999</v>
      </c>
      <c r="AA55" s="79">
        <f t="shared" si="8"/>
        <v>931434114.13</v>
      </c>
      <c r="AB55" s="79">
        <f t="shared" si="0"/>
        <v>658317177.27999997</v>
      </c>
      <c r="AC55" s="79">
        <v>682500</v>
      </c>
      <c r="AD55" s="79">
        <v>636666.79</v>
      </c>
      <c r="AE55" s="79"/>
      <c r="AF55" s="79">
        <f t="shared" si="1"/>
        <v>273162770.06</v>
      </c>
      <c r="AG55" s="80">
        <f t="shared" si="2"/>
        <v>316306725.95999998</v>
      </c>
      <c r="AH55" s="79"/>
      <c r="AI55" s="79"/>
      <c r="AJ55" s="79">
        <f t="shared" si="3"/>
        <v>0</v>
      </c>
      <c r="AK55" s="79">
        <v>347557638</v>
      </c>
      <c r="AL55" s="79"/>
      <c r="AM55" s="79">
        <v>-242967471.03</v>
      </c>
      <c r="AN55" s="79">
        <v>-9696642.6799999997</v>
      </c>
      <c r="AO55" s="79">
        <f t="shared" si="4"/>
        <v>-252664113.71000001</v>
      </c>
      <c r="AP55" s="79">
        <v>221413201.66999999</v>
      </c>
      <c r="AQ55" s="81"/>
      <c r="AR55" s="82">
        <f t="shared" si="5"/>
        <v>316306725.95999998</v>
      </c>
      <c r="AS55" s="83">
        <f t="shared" si="6"/>
        <v>316306725.95999998</v>
      </c>
    </row>
    <row r="56" spans="1:45" ht="22.5" x14ac:dyDescent="0.2">
      <c r="A56" s="74">
        <v>49</v>
      </c>
      <c r="B56" s="75" t="s">
        <v>202</v>
      </c>
      <c r="C56" s="75" t="s">
        <v>135</v>
      </c>
      <c r="D56" s="76" t="s">
        <v>149</v>
      </c>
      <c r="E56" s="85">
        <v>9025243</v>
      </c>
      <c r="F56" s="78" t="s">
        <v>94</v>
      </c>
      <c r="G56" s="79"/>
      <c r="H56" s="79"/>
      <c r="I56" s="79"/>
      <c r="J56" s="79">
        <v>25636965</v>
      </c>
      <c r="K56" s="79"/>
      <c r="L56" s="79">
        <f t="shared" si="9"/>
        <v>25636965</v>
      </c>
      <c r="M56" s="79"/>
      <c r="N56" s="79">
        <v>74811400</v>
      </c>
      <c r="O56" s="79">
        <v>14447079.970000001</v>
      </c>
      <c r="P56" s="79">
        <v>27899700</v>
      </c>
      <c r="Q56" s="79">
        <v>16791457.539999999</v>
      </c>
      <c r="R56" s="79"/>
      <c r="S56" s="79"/>
      <c r="T56" s="79">
        <v>18234420.949999999</v>
      </c>
      <c r="U56" s="79">
        <v>10866775.539999999</v>
      </c>
      <c r="V56" s="79"/>
      <c r="W56" s="79">
        <v>521100</v>
      </c>
      <c r="X56" s="79"/>
      <c r="Y56" s="79">
        <f>1612400</f>
        <v>1612400</v>
      </c>
      <c r="Z56" s="79">
        <v>1612400</v>
      </c>
      <c r="AA56" s="79">
        <f t="shared" si="8"/>
        <v>123079020.95</v>
      </c>
      <c r="AB56" s="79">
        <f t="shared" si="0"/>
        <v>43717713.049999997</v>
      </c>
      <c r="AC56" s="79">
        <v>580000</v>
      </c>
      <c r="AD56" s="79">
        <v>534166.79</v>
      </c>
      <c r="AE56" s="79"/>
      <c r="AF56" s="79">
        <f t="shared" si="1"/>
        <v>79407141.109999999</v>
      </c>
      <c r="AG56" s="80">
        <f t="shared" si="2"/>
        <v>105044106.11</v>
      </c>
      <c r="AH56" s="79"/>
      <c r="AI56" s="79"/>
      <c r="AJ56" s="79">
        <f t="shared" si="3"/>
        <v>0</v>
      </c>
      <c r="AK56" s="79">
        <v>70714124.129999995</v>
      </c>
      <c r="AL56" s="79"/>
      <c r="AM56" s="79">
        <v>18319384.469999999</v>
      </c>
      <c r="AN56" s="79">
        <v>-35878.769999999997</v>
      </c>
      <c r="AO56" s="79">
        <f t="shared" si="4"/>
        <v>18283505.699999999</v>
      </c>
      <c r="AP56" s="79">
        <v>16046476.279999999</v>
      </c>
      <c r="AQ56" s="81"/>
      <c r="AR56" s="82">
        <f t="shared" si="5"/>
        <v>105044106.11</v>
      </c>
      <c r="AS56" s="84">
        <f t="shared" si="6"/>
        <v>105044106.11</v>
      </c>
    </row>
    <row r="57" spans="1:45" x14ac:dyDescent="0.2">
      <c r="A57" s="74">
        <v>50</v>
      </c>
      <c r="B57" s="75" t="s">
        <v>202</v>
      </c>
      <c r="C57" s="75" t="s">
        <v>92</v>
      </c>
      <c r="D57" s="76" t="s">
        <v>150</v>
      </c>
      <c r="E57" s="85">
        <v>4244966</v>
      </c>
      <c r="F57" s="78" t="s">
        <v>94</v>
      </c>
      <c r="G57" s="79"/>
      <c r="H57" s="79"/>
      <c r="I57" s="79">
        <v>650250</v>
      </c>
      <c r="J57" s="79">
        <v>25507152.899999999</v>
      </c>
      <c r="K57" s="79"/>
      <c r="L57" s="79">
        <f t="shared" si="9"/>
        <v>26157402.899999999</v>
      </c>
      <c r="M57" s="79"/>
      <c r="N57" s="79">
        <v>500100200</v>
      </c>
      <c r="O57" s="79">
        <v>130316899.54000001</v>
      </c>
      <c r="P57" s="79">
        <v>45128482.159999996</v>
      </c>
      <c r="Q57" s="79">
        <v>21853538.789999999</v>
      </c>
      <c r="R57" s="79"/>
      <c r="S57" s="79"/>
      <c r="T57" s="79">
        <v>45997762.600000001</v>
      </c>
      <c r="U57" s="79">
        <v>9665861.0600000005</v>
      </c>
      <c r="V57" s="79"/>
      <c r="W57" s="79">
        <v>1310480</v>
      </c>
      <c r="X57" s="79"/>
      <c r="Y57" s="79">
        <v>33591655.100000001</v>
      </c>
      <c r="Z57" s="79">
        <v>26757515.02</v>
      </c>
      <c r="AA57" s="79">
        <f t="shared" si="8"/>
        <v>626128579.86000001</v>
      </c>
      <c r="AB57" s="79">
        <f t="shared" si="0"/>
        <v>188593814.41000003</v>
      </c>
      <c r="AC57" s="79">
        <v>380000</v>
      </c>
      <c r="AD57" s="79">
        <v>380000</v>
      </c>
      <c r="AE57" s="79"/>
      <c r="AF57" s="79">
        <f t="shared" si="1"/>
        <v>437534765.44999999</v>
      </c>
      <c r="AG57" s="80">
        <f t="shared" si="2"/>
        <v>463692168.34999996</v>
      </c>
      <c r="AH57" s="79"/>
      <c r="AI57" s="79"/>
      <c r="AJ57" s="79">
        <f t="shared" si="3"/>
        <v>0</v>
      </c>
      <c r="AK57" s="79">
        <v>339507470.19999999</v>
      </c>
      <c r="AL57" s="79"/>
      <c r="AM57" s="79">
        <v>-28299150.379999999</v>
      </c>
      <c r="AN57" s="79">
        <v>3226273.44</v>
      </c>
      <c r="AO57" s="79">
        <f t="shared" si="4"/>
        <v>-25072876.939999998</v>
      </c>
      <c r="AP57" s="79">
        <v>149257575.09</v>
      </c>
      <c r="AQ57" s="81"/>
      <c r="AR57" s="82">
        <f t="shared" si="5"/>
        <v>463692168.35000002</v>
      </c>
      <c r="AS57" s="84">
        <f t="shared" si="6"/>
        <v>463692168.35000002</v>
      </c>
    </row>
    <row r="58" spans="1:45" x14ac:dyDescent="0.2">
      <c r="A58" s="74">
        <v>51</v>
      </c>
      <c r="B58" s="75" t="s">
        <v>202</v>
      </c>
      <c r="C58" s="75" t="s">
        <v>92</v>
      </c>
      <c r="D58" s="76" t="s">
        <v>151</v>
      </c>
      <c r="E58" s="85">
        <v>9022457</v>
      </c>
      <c r="F58" s="78" t="s">
        <v>94</v>
      </c>
      <c r="G58" s="79"/>
      <c r="H58" s="79"/>
      <c r="I58" s="79">
        <v>1096300</v>
      </c>
      <c r="J58" s="79">
        <v>49394587.799999997</v>
      </c>
      <c r="K58" s="79"/>
      <c r="L58" s="79">
        <f t="shared" si="9"/>
        <v>50490887.799999997</v>
      </c>
      <c r="M58" s="79"/>
      <c r="N58" s="79">
        <v>962189800</v>
      </c>
      <c r="O58" s="79">
        <v>558075297.14999998</v>
      </c>
      <c r="P58" s="79">
        <v>35005515.289999999</v>
      </c>
      <c r="Q58" s="79">
        <v>14644609.800000001</v>
      </c>
      <c r="R58" s="79"/>
      <c r="S58" s="79"/>
      <c r="T58" s="79">
        <v>36121247.109999999</v>
      </c>
      <c r="U58" s="79">
        <v>21609884.690000001</v>
      </c>
      <c r="V58" s="79"/>
      <c r="W58" s="79">
        <v>2844001.07</v>
      </c>
      <c r="X58" s="79"/>
      <c r="Y58" s="79">
        <v>7337000</v>
      </c>
      <c r="Z58" s="79">
        <v>7337000</v>
      </c>
      <c r="AA58" s="79">
        <f t="shared" si="8"/>
        <v>1043497563.47</v>
      </c>
      <c r="AB58" s="79">
        <f t="shared" si="0"/>
        <v>601666791.63999999</v>
      </c>
      <c r="AC58" s="79">
        <v>1412500</v>
      </c>
      <c r="AD58" s="79">
        <v>1366666.79</v>
      </c>
      <c r="AE58" s="79"/>
      <c r="AF58" s="79">
        <f t="shared" si="1"/>
        <v>441876605.04000002</v>
      </c>
      <c r="AG58" s="80">
        <f t="shared" si="2"/>
        <v>492367492.84000003</v>
      </c>
      <c r="AH58" s="79"/>
      <c r="AI58" s="79"/>
      <c r="AJ58" s="79">
        <f t="shared" si="3"/>
        <v>0</v>
      </c>
      <c r="AK58" s="79">
        <v>277026634</v>
      </c>
      <c r="AL58" s="79"/>
      <c r="AM58" s="79">
        <v>-107103149.87</v>
      </c>
      <c r="AN58" s="79">
        <v>5093843.75</v>
      </c>
      <c r="AO58" s="79">
        <f t="shared" si="4"/>
        <v>-102009306.12</v>
      </c>
      <c r="AP58" s="79">
        <v>317350164.95999998</v>
      </c>
      <c r="AQ58" s="81"/>
      <c r="AR58" s="82">
        <f t="shared" si="5"/>
        <v>492367492.83999997</v>
      </c>
      <c r="AS58" s="84">
        <f t="shared" si="6"/>
        <v>492367492.83999997</v>
      </c>
    </row>
    <row r="59" spans="1:45" x14ac:dyDescent="0.2">
      <c r="A59" s="74">
        <v>52</v>
      </c>
      <c r="B59" s="75" t="s">
        <v>202</v>
      </c>
      <c r="C59" s="75" t="s">
        <v>92</v>
      </c>
      <c r="D59" s="76" t="s">
        <v>152</v>
      </c>
      <c r="E59" s="85">
        <v>9022422</v>
      </c>
      <c r="F59" s="78" t="s">
        <v>94</v>
      </c>
      <c r="G59" s="79"/>
      <c r="H59" s="79"/>
      <c r="I59" s="79"/>
      <c r="J59" s="79">
        <v>29704650.399999999</v>
      </c>
      <c r="K59" s="79"/>
      <c r="L59" s="79">
        <f t="shared" si="9"/>
        <v>29704650.399999999</v>
      </c>
      <c r="M59" s="79"/>
      <c r="N59" s="79">
        <v>1277674400</v>
      </c>
      <c r="O59" s="79">
        <v>1030869219.5</v>
      </c>
      <c r="P59" s="79">
        <v>58993719.57</v>
      </c>
      <c r="Q59" s="79">
        <v>22337753.84</v>
      </c>
      <c r="R59" s="79"/>
      <c r="S59" s="79"/>
      <c r="T59" s="79">
        <v>39365701.549999997</v>
      </c>
      <c r="U59" s="79">
        <v>12383795.890000001</v>
      </c>
      <c r="V59" s="79"/>
      <c r="W59" s="79">
        <v>2399505.62</v>
      </c>
      <c r="X59" s="79"/>
      <c r="Y59" s="79">
        <v>4273240</v>
      </c>
      <c r="Z59" s="79">
        <v>2911729.1</v>
      </c>
      <c r="AA59" s="79">
        <f t="shared" si="8"/>
        <v>1382706566.7399998</v>
      </c>
      <c r="AB59" s="79">
        <f t="shared" si="0"/>
        <v>1068502498.33</v>
      </c>
      <c r="AC59" s="79">
        <v>630000</v>
      </c>
      <c r="AD59" s="79">
        <v>572708.57999999996</v>
      </c>
      <c r="AE59" s="79"/>
      <c r="AF59" s="79">
        <f t="shared" si="1"/>
        <v>314261359.82999974</v>
      </c>
      <c r="AG59" s="80">
        <f t="shared" si="2"/>
        <v>343966010.22999972</v>
      </c>
      <c r="AH59" s="79">
        <v>2403843</v>
      </c>
      <c r="AI59" s="79"/>
      <c r="AJ59" s="79">
        <f t="shared" si="3"/>
        <v>2403843</v>
      </c>
      <c r="AK59" s="79">
        <v>548341165</v>
      </c>
      <c r="AL59" s="79"/>
      <c r="AM59" s="79">
        <v>-428302026.51999998</v>
      </c>
      <c r="AN59" s="79">
        <v>17195371.329999998</v>
      </c>
      <c r="AO59" s="79">
        <f t="shared" si="4"/>
        <v>-411106655.19</v>
      </c>
      <c r="AP59" s="79">
        <v>204327657.41999999</v>
      </c>
      <c r="AQ59" s="81"/>
      <c r="AR59" s="82">
        <f t="shared" si="5"/>
        <v>341562167.23000002</v>
      </c>
      <c r="AS59" s="84">
        <f t="shared" si="6"/>
        <v>343966010.23000002</v>
      </c>
    </row>
    <row r="60" spans="1:45" x14ac:dyDescent="0.2">
      <c r="A60" s="74">
        <v>53</v>
      </c>
      <c r="B60" s="75" t="s">
        <v>202</v>
      </c>
      <c r="C60" s="75" t="s">
        <v>92</v>
      </c>
      <c r="D60" s="76" t="s">
        <v>153</v>
      </c>
      <c r="E60" s="85">
        <v>4270959</v>
      </c>
      <c r="F60" s="78" t="s">
        <v>94</v>
      </c>
      <c r="G60" s="79"/>
      <c r="H60" s="79"/>
      <c r="I60" s="79"/>
      <c r="J60" s="79">
        <v>28479457.949999999</v>
      </c>
      <c r="K60" s="79"/>
      <c r="L60" s="79">
        <f t="shared" ref="L60" si="20">SUM(G60:K60)</f>
        <v>28479457.949999999</v>
      </c>
      <c r="M60" s="79"/>
      <c r="N60" s="79">
        <v>659553495</v>
      </c>
      <c r="O60" s="79">
        <v>10692558.24</v>
      </c>
      <c r="P60" s="79">
        <v>24084272</v>
      </c>
      <c r="Q60" s="79">
        <v>2539745.48</v>
      </c>
      <c r="R60" s="79"/>
      <c r="S60" s="79"/>
      <c r="T60" s="79">
        <v>14707276</v>
      </c>
      <c r="U60" s="79">
        <v>1232960.0900000001</v>
      </c>
      <c r="V60" s="79"/>
      <c r="W60" s="79">
        <v>521129.13</v>
      </c>
      <c r="X60" s="79"/>
      <c r="Y60" s="79">
        <v>254375000</v>
      </c>
      <c r="Z60" s="79">
        <v>19171083.34</v>
      </c>
      <c r="AA60" s="79">
        <f t="shared" si="8"/>
        <v>953241172.13</v>
      </c>
      <c r="AB60" s="79">
        <f t="shared" si="0"/>
        <v>33636347.149999999</v>
      </c>
      <c r="AC60" s="79">
        <v>1045000</v>
      </c>
      <c r="AD60" s="79">
        <v>239479.13</v>
      </c>
      <c r="AE60" s="79"/>
      <c r="AF60" s="79">
        <f t="shared" si="1"/>
        <v>920410345.85000002</v>
      </c>
      <c r="AG60" s="80">
        <f t="shared" si="2"/>
        <v>948889803.80000007</v>
      </c>
      <c r="AH60" s="79"/>
      <c r="AI60" s="79"/>
      <c r="AJ60" s="79">
        <f t="shared" si="3"/>
        <v>0</v>
      </c>
      <c r="AK60" s="79"/>
      <c r="AL60" s="79"/>
      <c r="AM60" s="79">
        <v>898041403</v>
      </c>
      <c r="AN60" s="79">
        <v>50848400.799999997</v>
      </c>
      <c r="AO60" s="79">
        <f t="shared" si="4"/>
        <v>948889803.79999995</v>
      </c>
      <c r="AP60" s="79"/>
      <c r="AQ60" s="81"/>
      <c r="AR60" s="82">
        <f t="shared" si="5"/>
        <v>948889803.79999995</v>
      </c>
      <c r="AS60" s="84">
        <f t="shared" si="6"/>
        <v>948889803.79999995</v>
      </c>
    </row>
    <row r="61" spans="1:45" x14ac:dyDescent="0.2">
      <c r="A61" s="74">
        <v>54</v>
      </c>
      <c r="B61" s="75" t="s">
        <v>202</v>
      </c>
      <c r="C61" s="75" t="s">
        <v>92</v>
      </c>
      <c r="D61" s="76" t="s">
        <v>154</v>
      </c>
      <c r="E61" s="85">
        <v>4266234</v>
      </c>
      <c r="F61" s="78" t="s">
        <v>94</v>
      </c>
      <c r="G61" s="79"/>
      <c r="H61" s="79"/>
      <c r="I61" s="79"/>
      <c r="J61" s="79">
        <v>80186514</v>
      </c>
      <c r="K61" s="79"/>
      <c r="L61" s="79">
        <f t="shared" si="9"/>
        <v>80186514</v>
      </c>
      <c r="M61" s="79"/>
      <c r="N61" s="79">
        <v>3463890410</v>
      </c>
      <c r="O61" s="79">
        <v>2605603799.7399998</v>
      </c>
      <c r="P61" s="79">
        <v>73123930.959999993</v>
      </c>
      <c r="Q61" s="79">
        <v>23163186.600000001</v>
      </c>
      <c r="R61" s="79"/>
      <c r="S61" s="79"/>
      <c r="T61" s="79">
        <v>81581990</v>
      </c>
      <c r="U61" s="79">
        <v>27608268.170000002</v>
      </c>
      <c r="V61" s="79"/>
      <c r="W61" s="79"/>
      <c r="X61" s="79"/>
      <c r="Y61" s="79">
        <v>11559500</v>
      </c>
      <c r="Z61" s="79">
        <v>192658.32</v>
      </c>
      <c r="AA61" s="79">
        <f t="shared" si="8"/>
        <v>3630155830.96</v>
      </c>
      <c r="AB61" s="79">
        <f t="shared" si="0"/>
        <v>2656567912.8299999</v>
      </c>
      <c r="AC61" s="79">
        <v>990000</v>
      </c>
      <c r="AD61" s="79">
        <v>445500</v>
      </c>
      <c r="AE61" s="79"/>
      <c r="AF61" s="79">
        <f t="shared" si="1"/>
        <v>974132418.13000011</v>
      </c>
      <c r="AG61" s="80">
        <f t="shared" si="2"/>
        <v>1054318932.1300001</v>
      </c>
      <c r="AH61" s="79"/>
      <c r="AI61" s="79"/>
      <c r="AJ61" s="79">
        <f t="shared" si="3"/>
        <v>0</v>
      </c>
      <c r="AK61" s="79"/>
      <c r="AL61" s="79"/>
      <c r="AM61" s="79">
        <v>1082905469.8099999</v>
      </c>
      <c r="AN61" s="79">
        <v>-28586537.68</v>
      </c>
      <c r="AO61" s="79">
        <f t="shared" si="4"/>
        <v>1054318932.13</v>
      </c>
      <c r="AP61" s="79"/>
      <c r="AQ61" s="81"/>
      <c r="AR61" s="82">
        <f t="shared" si="5"/>
        <v>1054318932.13</v>
      </c>
      <c r="AS61" s="84">
        <f t="shared" si="6"/>
        <v>1054318932.13</v>
      </c>
    </row>
    <row r="62" spans="1:45" x14ac:dyDescent="0.2">
      <c r="A62" s="74">
        <v>55</v>
      </c>
      <c r="B62" s="75" t="s">
        <v>202</v>
      </c>
      <c r="C62" s="75" t="s">
        <v>92</v>
      </c>
      <c r="D62" s="76" t="s">
        <v>155</v>
      </c>
      <c r="E62" s="85">
        <v>4272323</v>
      </c>
      <c r="F62" s="78" t="s">
        <v>94</v>
      </c>
      <c r="G62" s="79"/>
      <c r="H62" s="79"/>
      <c r="I62" s="79"/>
      <c r="J62" s="79">
        <v>29594071.100000001</v>
      </c>
      <c r="K62" s="79"/>
      <c r="L62" s="79">
        <f t="shared" ref="L62" si="21">SUM(G62:K62)</f>
        <v>29594071.100000001</v>
      </c>
      <c r="M62" s="79"/>
      <c r="N62" s="79">
        <v>1785277687</v>
      </c>
      <c r="O62" s="79">
        <v>9918209.3599999994</v>
      </c>
      <c r="P62" s="79">
        <v>31124230</v>
      </c>
      <c r="Q62" s="79">
        <v>1019640.59</v>
      </c>
      <c r="R62" s="79"/>
      <c r="S62" s="79"/>
      <c r="T62" s="79">
        <v>25114386</v>
      </c>
      <c r="U62" s="79">
        <v>971125.12</v>
      </c>
      <c r="V62" s="79"/>
      <c r="W62" s="79">
        <v>261129.13</v>
      </c>
      <c r="X62" s="79"/>
      <c r="Y62" s="79"/>
      <c r="Z62" s="79"/>
      <c r="AA62" s="79">
        <f t="shared" si="8"/>
        <v>1841777432.1300001</v>
      </c>
      <c r="AB62" s="79">
        <f t="shared" si="0"/>
        <v>11908975.069999998</v>
      </c>
      <c r="AC62" s="79">
        <v>1155000</v>
      </c>
      <c r="AD62" s="79">
        <v>96250</v>
      </c>
      <c r="AE62" s="79"/>
      <c r="AF62" s="79">
        <f t="shared" si="1"/>
        <v>1830927207.0600002</v>
      </c>
      <c r="AG62" s="80">
        <f t="shared" si="2"/>
        <v>1860521278.1600001</v>
      </c>
      <c r="AH62" s="79"/>
      <c r="AI62" s="79"/>
      <c r="AJ62" s="79">
        <f t="shared" si="3"/>
        <v>0</v>
      </c>
      <c r="AK62" s="79"/>
      <c r="AL62" s="79"/>
      <c r="AM62" s="79"/>
      <c r="AN62" s="79">
        <v>1860521278.1600001</v>
      </c>
      <c r="AO62" s="79">
        <f t="shared" si="4"/>
        <v>1860521278.1600001</v>
      </c>
      <c r="AP62" s="79"/>
      <c r="AQ62" s="81"/>
      <c r="AR62" s="82">
        <f t="shared" si="5"/>
        <v>1860521278.1600001</v>
      </c>
      <c r="AS62" s="84">
        <f t="shared" si="6"/>
        <v>1860521278.1600001</v>
      </c>
    </row>
    <row r="63" spans="1:45" x14ac:dyDescent="0.2">
      <c r="A63" s="74">
        <v>56</v>
      </c>
      <c r="B63" s="75" t="s">
        <v>202</v>
      </c>
      <c r="C63" s="75" t="s">
        <v>120</v>
      </c>
      <c r="D63" s="76" t="s">
        <v>156</v>
      </c>
      <c r="E63" s="85">
        <v>9022716</v>
      </c>
      <c r="F63" s="78" t="s">
        <v>94</v>
      </c>
      <c r="G63" s="79"/>
      <c r="H63" s="79"/>
      <c r="I63" s="79">
        <v>3151029</v>
      </c>
      <c r="J63" s="79">
        <v>40346507.899999999</v>
      </c>
      <c r="K63" s="79"/>
      <c r="L63" s="79">
        <f t="shared" si="9"/>
        <v>43497536.899999999</v>
      </c>
      <c r="M63" s="79"/>
      <c r="N63" s="79">
        <v>506276640</v>
      </c>
      <c r="O63" s="79">
        <v>327089295.79000002</v>
      </c>
      <c r="P63" s="79">
        <v>23435688.68</v>
      </c>
      <c r="Q63" s="79">
        <v>14735414.960000001</v>
      </c>
      <c r="R63" s="79"/>
      <c r="S63" s="79"/>
      <c r="T63" s="79">
        <v>22642915.440000001</v>
      </c>
      <c r="U63" s="79">
        <v>7462224.4699999997</v>
      </c>
      <c r="V63" s="79"/>
      <c r="W63" s="79">
        <v>1022200</v>
      </c>
      <c r="X63" s="79"/>
      <c r="Y63" s="79">
        <v>4256031</v>
      </c>
      <c r="Z63" s="79">
        <v>3482834.81</v>
      </c>
      <c r="AA63" s="79">
        <f t="shared" si="8"/>
        <v>557633475.12</v>
      </c>
      <c r="AB63" s="79">
        <f t="shared" si="0"/>
        <v>352769770.03000003</v>
      </c>
      <c r="AC63" s="79">
        <v>780000</v>
      </c>
      <c r="AD63" s="79">
        <v>703333.21</v>
      </c>
      <c r="AE63" s="79"/>
      <c r="AF63" s="79">
        <f t="shared" si="1"/>
        <v>204940371.87999997</v>
      </c>
      <c r="AG63" s="80">
        <f t="shared" si="2"/>
        <v>248437908.77999997</v>
      </c>
      <c r="AH63" s="79"/>
      <c r="AI63" s="79"/>
      <c r="AJ63" s="79">
        <f t="shared" si="3"/>
        <v>0</v>
      </c>
      <c r="AK63" s="79">
        <v>75781109.540000007</v>
      </c>
      <c r="AL63" s="79"/>
      <c r="AM63" s="79">
        <v>-32352493.059999999</v>
      </c>
      <c r="AN63" s="79">
        <v>79107838.989999995</v>
      </c>
      <c r="AO63" s="79">
        <f t="shared" si="4"/>
        <v>46755345.929999992</v>
      </c>
      <c r="AP63" s="79">
        <v>125901453.31</v>
      </c>
      <c r="AQ63" s="81"/>
      <c r="AR63" s="82">
        <f t="shared" si="5"/>
        <v>248437908.78</v>
      </c>
      <c r="AS63" s="83">
        <f t="shared" si="6"/>
        <v>248437908.78</v>
      </c>
    </row>
    <row r="64" spans="1:45" x14ac:dyDescent="0.2">
      <c r="A64" s="74">
        <v>57</v>
      </c>
      <c r="B64" s="75" t="s">
        <v>202</v>
      </c>
      <c r="C64" s="75" t="s">
        <v>92</v>
      </c>
      <c r="D64" s="76" t="s">
        <v>157</v>
      </c>
      <c r="E64" s="85">
        <v>9022295</v>
      </c>
      <c r="F64" s="78" t="s">
        <v>94</v>
      </c>
      <c r="G64" s="79"/>
      <c r="H64" s="79"/>
      <c r="I64" s="79">
        <v>160300</v>
      </c>
      <c r="J64" s="79">
        <v>55802186.369999997</v>
      </c>
      <c r="K64" s="79"/>
      <c r="L64" s="79">
        <f t="shared" si="9"/>
        <v>55962486.369999997</v>
      </c>
      <c r="M64" s="79"/>
      <c r="N64" s="79">
        <v>1126051690</v>
      </c>
      <c r="O64" s="79">
        <v>730775562.07000005</v>
      </c>
      <c r="P64" s="79">
        <v>78171094</v>
      </c>
      <c r="Q64" s="79">
        <v>35550690.240000002</v>
      </c>
      <c r="R64" s="79"/>
      <c r="S64" s="79"/>
      <c r="T64" s="79">
        <v>56295186</v>
      </c>
      <c r="U64" s="79">
        <v>19558159.52</v>
      </c>
      <c r="V64" s="79"/>
      <c r="W64" s="79">
        <v>1163130</v>
      </c>
      <c r="X64" s="79"/>
      <c r="Y64" s="79"/>
      <c r="Z64" s="79"/>
      <c r="AA64" s="79">
        <f t="shared" si="8"/>
        <v>1261681100</v>
      </c>
      <c r="AB64" s="79">
        <f t="shared" si="0"/>
        <v>785884411.83000004</v>
      </c>
      <c r="AC64" s="79">
        <v>2762500</v>
      </c>
      <c r="AD64" s="79">
        <v>1317499.8799999999</v>
      </c>
      <c r="AE64" s="79"/>
      <c r="AF64" s="79">
        <f t="shared" si="1"/>
        <v>477241688.28999996</v>
      </c>
      <c r="AG64" s="80">
        <f t="shared" si="2"/>
        <v>533204174.65999997</v>
      </c>
      <c r="AH64" s="79"/>
      <c r="AI64" s="79"/>
      <c r="AJ64" s="79">
        <f t="shared" si="3"/>
        <v>0</v>
      </c>
      <c r="AK64" s="79">
        <v>153834774</v>
      </c>
      <c r="AL64" s="79"/>
      <c r="AM64" s="79">
        <v>-74954784.969999999</v>
      </c>
      <c r="AN64" s="79">
        <v>5084622.53</v>
      </c>
      <c r="AO64" s="79">
        <f t="shared" si="4"/>
        <v>-69870162.439999998</v>
      </c>
      <c r="AP64" s="79">
        <v>449239563.10000002</v>
      </c>
      <c r="AQ64" s="81"/>
      <c r="AR64" s="82">
        <f t="shared" si="5"/>
        <v>533204174.66000003</v>
      </c>
      <c r="AS64" s="84">
        <f t="shared" si="6"/>
        <v>533204174.66000003</v>
      </c>
    </row>
    <row r="65" spans="1:45" x14ac:dyDescent="0.2">
      <c r="A65" s="74">
        <v>58</v>
      </c>
      <c r="B65" s="75" t="s">
        <v>202</v>
      </c>
      <c r="C65" s="75" t="s">
        <v>92</v>
      </c>
      <c r="D65" s="76" t="s">
        <v>158</v>
      </c>
      <c r="E65" s="85">
        <v>4272331</v>
      </c>
      <c r="F65" s="78" t="s">
        <v>94</v>
      </c>
      <c r="G65" s="79"/>
      <c r="H65" s="79"/>
      <c r="I65" s="79">
        <v>9350</v>
      </c>
      <c r="J65" s="79">
        <v>18757253.079999998</v>
      </c>
      <c r="K65" s="79"/>
      <c r="L65" s="79">
        <f t="shared" si="9"/>
        <v>18766603.079999998</v>
      </c>
      <c r="M65" s="79"/>
      <c r="N65" s="79">
        <v>730500000</v>
      </c>
      <c r="O65" s="79">
        <v>4058333.32</v>
      </c>
      <c r="P65" s="79">
        <v>25965993</v>
      </c>
      <c r="Q65" s="79">
        <v>735247</v>
      </c>
      <c r="R65" s="79"/>
      <c r="S65" s="79"/>
      <c r="T65" s="79">
        <v>20309133</v>
      </c>
      <c r="U65" s="79">
        <v>557059.47</v>
      </c>
      <c r="V65" s="79"/>
      <c r="W65" s="79">
        <v>635436</v>
      </c>
      <c r="X65" s="79"/>
      <c r="Y65" s="79"/>
      <c r="Z65" s="79"/>
      <c r="AA65" s="79">
        <f t="shared" si="8"/>
        <v>777410562</v>
      </c>
      <c r="AB65" s="79">
        <f t="shared" si="0"/>
        <v>5350639.79</v>
      </c>
      <c r="AC65" s="79">
        <v>1199000</v>
      </c>
      <c r="AD65" s="79">
        <v>79933.320000000007</v>
      </c>
      <c r="AE65" s="79"/>
      <c r="AF65" s="79">
        <f t="shared" si="1"/>
        <v>773178988.88999999</v>
      </c>
      <c r="AG65" s="80">
        <f t="shared" si="2"/>
        <v>791945591.97000003</v>
      </c>
      <c r="AH65" s="79"/>
      <c r="AI65" s="79"/>
      <c r="AJ65" s="79">
        <f t="shared" si="3"/>
        <v>0</v>
      </c>
      <c r="AK65" s="79"/>
      <c r="AL65" s="79"/>
      <c r="AM65" s="79"/>
      <c r="AN65" s="79">
        <v>791945591.97000003</v>
      </c>
      <c r="AO65" s="79">
        <f t="shared" si="4"/>
        <v>791945591.97000003</v>
      </c>
      <c r="AP65" s="79"/>
      <c r="AQ65" s="81"/>
      <c r="AR65" s="82">
        <f t="shared" si="5"/>
        <v>791945591.97000003</v>
      </c>
      <c r="AS65" s="84">
        <f t="shared" si="6"/>
        <v>791945591.97000003</v>
      </c>
    </row>
    <row r="66" spans="1:45" x14ac:dyDescent="0.2">
      <c r="A66" s="74">
        <v>59</v>
      </c>
      <c r="B66" s="75" t="s">
        <v>202</v>
      </c>
      <c r="C66" s="75" t="s">
        <v>92</v>
      </c>
      <c r="D66" s="76" t="s">
        <v>159</v>
      </c>
      <c r="E66" s="85">
        <v>2022333</v>
      </c>
      <c r="F66" s="78" t="s">
        <v>94</v>
      </c>
      <c r="G66" s="79"/>
      <c r="H66" s="79"/>
      <c r="I66" s="79"/>
      <c r="J66" s="79">
        <v>36484233.07</v>
      </c>
      <c r="K66" s="79"/>
      <c r="L66" s="79">
        <f t="shared" si="9"/>
        <v>36484233.07</v>
      </c>
      <c r="M66" s="79"/>
      <c r="N66" s="79">
        <v>1439323722</v>
      </c>
      <c r="O66" s="79">
        <v>612124552.49000001</v>
      </c>
      <c r="P66" s="79">
        <v>54994149</v>
      </c>
      <c r="Q66" s="79">
        <v>32949372.02</v>
      </c>
      <c r="R66" s="79"/>
      <c r="S66" s="79"/>
      <c r="T66" s="79">
        <v>30278688.670000002</v>
      </c>
      <c r="U66" s="79">
        <v>14462222.84</v>
      </c>
      <c r="V66" s="79"/>
      <c r="W66" s="79">
        <v>1029100</v>
      </c>
      <c r="X66" s="79"/>
      <c r="Y66" s="79">
        <v>6246994</v>
      </c>
      <c r="Z66" s="79">
        <v>3780178.28</v>
      </c>
      <c r="AA66" s="79">
        <f t="shared" si="8"/>
        <v>1531872653.6700001</v>
      </c>
      <c r="AB66" s="79">
        <f t="shared" si="0"/>
        <v>663316325.63</v>
      </c>
      <c r="AC66" s="79">
        <v>580000</v>
      </c>
      <c r="AD66" s="79">
        <v>534166.79</v>
      </c>
      <c r="AE66" s="79"/>
      <c r="AF66" s="79">
        <f t="shared" si="1"/>
        <v>868602161.25000012</v>
      </c>
      <c r="AG66" s="80">
        <f t="shared" si="2"/>
        <v>905086394.32000017</v>
      </c>
      <c r="AH66" s="79"/>
      <c r="AI66" s="79"/>
      <c r="AJ66" s="79">
        <f t="shared" si="3"/>
        <v>0</v>
      </c>
      <c r="AK66" s="79">
        <v>316525028.5</v>
      </c>
      <c r="AL66" s="79"/>
      <c r="AM66" s="79">
        <v>-150292882.84</v>
      </c>
      <c r="AN66" s="79">
        <v>-2853484.69</v>
      </c>
      <c r="AO66" s="79">
        <f t="shared" si="4"/>
        <v>-153146367.53</v>
      </c>
      <c r="AP66" s="79">
        <v>741707733.35000002</v>
      </c>
      <c r="AQ66" s="81"/>
      <c r="AR66" s="82">
        <f t="shared" si="5"/>
        <v>905086394.32000005</v>
      </c>
      <c r="AS66" s="83">
        <f t="shared" si="6"/>
        <v>905086394.32000005</v>
      </c>
    </row>
    <row r="67" spans="1:45" x14ac:dyDescent="0.2">
      <c r="A67" s="74">
        <v>60</v>
      </c>
      <c r="B67" s="75" t="s">
        <v>202</v>
      </c>
      <c r="C67" s="75" t="s">
        <v>92</v>
      </c>
      <c r="D67" s="76" t="s">
        <v>160</v>
      </c>
      <c r="E67" s="85">
        <v>9022325</v>
      </c>
      <c r="F67" s="78" t="s">
        <v>94</v>
      </c>
      <c r="G67" s="79"/>
      <c r="H67" s="79"/>
      <c r="I67" s="79"/>
      <c r="J67" s="79">
        <v>55649069.799999997</v>
      </c>
      <c r="K67" s="79"/>
      <c r="L67" s="79">
        <f t="shared" si="9"/>
        <v>55649069.799999997</v>
      </c>
      <c r="M67" s="79"/>
      <c r="N67" s="79">
        <v>971159749</v>
      </c>
      <c r="O67" s="79">
        <v>413465671.55000001</v>
      </c>
      <c r="P67" s="79">
        <v>36823608.659999996</v>
      </c>
      <c r="Q67" s="79">
        <v>19286072.059999999</v>
      </c>
      <c r="R67" s="79"/>
      <c r="S67" s="79"/>
      <c r="T67" s="79">
        <v>32637872.699999999</v>
      </c>
      <c r="U67" s="79">
        <v>10219568.25</v>
      </c>
      <c r="V67" s="79"/>
      <c r="W67" s="79">
        <v>800000</v>
      </c>
      <c r="X67" s="79"/>
      <c r="Y67" s="79">
        <v>59017740</v>
      </c>
      <c r="Z67" s="79">
        <v>46979094.490000002</v>
      </c>
      <c r="AA67" s="79">
        <f t="shared" si="8"/>
        <v>1100438970.3600001</v>
      </c>
      <c r="AB67" s="79">
        <f t="shared" si="0"/>
        <v>489950406.35000002</v>
      </c>
      <c r="AC67" s="79">
        <v>580000</v>
      </c>
      <c r="AD67" s="79">
        <v>580000</v>
      </c>
      <c r="AE67" s="79"/>
      <c r="AF67" s="79">
        <f t="shared" si="1"/>
        <v>610488564.01000011</v>
      </c>
      <c r="AG67" s="80">
        <f t="shared" si="2"/>
        <v>666137633.81000006</v>
      </c>
      <c r="AH67" s="79">
        <v>752391</v>
      </c>
      <c r="AI67" s="79"/>
      <c r="AJ67" s="79">
        <f t="shared" si="3"/>
        <v>752391</v>
      </c>
      <c r="AK67" s="79">
        <v>290443439</v>
      </c>
      <c r="AL67" s="79"/>
      <c r="AM67" s="79">
        <v>-120740217.43000001</v>
      </c>
      <c r="AN67" s="79">
        <v>138423213.28999999</v>
      </c>
      <c r="AO67" s="79">
        <f t="shared" si="4"/>
        <v>17682995.859999985</v>
      </c>
      <c r="AP67" s="79">
        <v>357258807.94999999</v>
      </c>
      <c r="AQ67" s="81"/>
      <c r="AR67" s="82">
        <f t="shared" si="5"/>
        <v>665385242.80999994</v>
      </c>
      <c r="AS67" s="83">
        <f t="shared" si="6"/>
        <v>666137633.80999994</v>
      </c>
    </row>
    <row r="68" spans="1:45" ht="22.5" x14ac:dyDescent="0.2">
      <c r="A68" s="74">
        <v>61</v>
      </c>
      <c r="B68" s="75" t="s">
        <v>202</v>
      </c>
      <c r="C68" s="75" t="s">
        <v>135</v>
      </c>
      <c r="D68" s="76" t="s">
        <v>161</v>
      </c>
      <c r="E68" s="85">
        <v>9022589</v>
      </c>
      <c r="F68" s="78" t="s">
        <v>94</v>
      </c>
      <c r="G68" s="79"/>
      <c r="H68" s="79"/>
      <c r="I68" s="79">
        <v>608480</v>
      </c>
      <c r="J68" s="79">
        <v>28470827.399999999</v>
      </c>
      <c r="K68" s="79"/>
      <c r="L68" s="79">
        <f t="shared" si="9"/>
        <v>29079307.399999999</v>
      </c>
      <c r="M68" s="79"/>
      <c r="N68" s="79">
        <v>916357900</v>
      </c>
      <c r="O68" s="79">
        <v>435225219.93000001</v>
      </c>
      <c r="P68" s="79">
        <v>17959729</v>
      </c>
      <c r="Q68" s="79">
        <v>12590416.939999999</v>
      </c>
      <c r="R68" s="79"/>
      <c r="S68" s="79"/>
      <c r="T68" s="79">
        <v>18024518.5</v>
      </c>
      <c r="U68" s="79">
        <v>12523697.970000001</v>
      </c>
      <c r="V68" s="79"/>
      <c r="W68" s="79">
        <v>1256580</v>
      </c>
      <c r="X68" s="79"/>
      <c r="Y68" s="79">
        <v>269000</v>
      </c>
      <c r="Z68" s="79">
        <v>107600.16</v>
      </c>
      <c r="AA68" s="79">
        <f t="shared" si="8"/>
        <v>953867727.5</v>
      </c>
      <c r="AB68" s="79">
        <f t="shared" si="0"/>
        <v>460446935.00000006</v>
      </c>
      <c r="AC68" s="79">
        <v>1129500</v>
      </c>
      <c r="AD68" s="79">
        <v>1079500.1200000001</v>
      </c>
      <c r="AE68" s="79"/>
      <c r="AF68" s="79">
        <f t="shared" si="1"/>
        <v>493470792.37999994</v>
      </c>
      <c r="AG68" s="80">
        <f t="shared" si="2"/>
        <v>522550099.77999991</v>
      </c>
      <c r="AH68" s="79"/>
      <c r="AI68" s="79"/>
      <c r="AJ68" s="79">
        <f t="shared" si="3"/>
        <v>0</v>
      </c>
      <c r="AK68" s="79">
        <v>151284567.05000001</v>
      </c>
      <c r="AL68" s="79"/>
      <c r="AM68" s="79">
        <v>-95232948.569999993</v>
      </c>
      <c r="AN68" s="79">
        <v>131398176.09</v>
      </c>
      <c r="AO68" s="79">
        <f t="shared" si="4"/>
        <v>36165227.520000011</v>
      </c>
      <c r="AP68" s="79">
        <v>335100305.20999998</v>
      </c>
      <c r="AQ68" s="81"/>
      <c r="AR68" s="82">
        <f t="shared" si="5"/>
        <v>522550099.77999997</v>
      </c>
      <c r="AS68" s="83">
        <f t="shared" si="6"/>
        <v>522550099.77999997</v>
      </c>
    </row>
    <row r="69" spans="1:45" x14ac:dyDescent="0.2">
      <c r="A69" s="74">
        <v>62</v>
      </c>
      <c r="B69" s="75" t="s">
        <v>202</v>
      </c>
      <c r="C69" s="75" t="s">
        <v>92</v>
      </c>
      <c r="D69" s="76" t="s">
        <v>162</v>
      </c>
      <c r="E69" s="85">
        <v>9022473</v>
      </c>
      <c r="F69" s="78" t="s">
        <v>94</v>
      </c>
      <c r="G69" s="79"/>
      <c r="H69" s="79"/>
      <c r="I69" s="79"/>
      <c r="J69" s="79">
        <v>46844718.799999997</v>
      </c>
      <c r="K69" s="79"/>
      <c r="L69" s="79">
        <f t="shared" si="9"/>
        <v>46844718.799999997</v>
      </c>
      <c r="M69" s="79"/>
      <c r="N69" s="79">
        <v>1037162100</v>
      </c>
      <c r="O69" s="79">
        <v>587241669.23000002</v>
      </c>
      <c r="P69" s="79">
        <v>36426436</v>
      </c>
      <c r="Q69" s="79">
        <v>23022357.41</v>
      </c>
      <c r="R69" s="79"/>
      <c r="S69" s="79"/>
      <c r="T69" s="79">
        <v>17008924.16</v>
      </c>
      <c r="U69" s="79">
        <v>7054283.8700000001</v>
      </c>
      <c r="V69" s="79"/>
      <c r="W69" s="79">
        <v>3756105.62</v>
      </c>
      <c r="X69" s="79"/>
      <c r="Y69" s="79">
        <v>73320000</v>
      </c>
      <c r="Z69" s="79">
        <v>10614485.199999999</v>
      </c>
      <c r="AA69" s="79">
        <f t="shared" si="8"/>
        <v>1167673565.78</v>
      </c>
      <c r="AB69" s="79">
        <f t="shared" si="0"/>
        <v>627932795.71000004</v>
      </c>
      <c r="AC69" s="79">
        <v>694900</v>
      </c>
      <c r="AD69" s="79">
        <v>649066.79</v>
      </c>
      <c r="AE69" s="79"/>
      <c r="AF69" s="79">
        <f t="shared" si="1"/>
        <v>539786603.27999997</v>
      </c>
      <c r="AG69" s="80">
        <f t="shared" si="2"/>
        <v>586631322.07999992</v>
      </c>
      <c r="AH69" s="79"/>
      <c r="AI69" s="79"/>
      <c r="AJ69" s="79">
        <f t="shared" si="3"/>
        <v>0</v>
      </c>
      <c r="AK69" s="79">
        <v>287756287</v>
      </c>
      <c r="AL69" s="79"/>
      <c r="AM69" s="79">
        <v>-184625110.74000001</v>
      </c>
      <c r="AN69" s="79">
        <v>2251429.7200000002</v>
      </c>
      <c r="AO69" s="79">
        <f t="shared" si="4"/>
        <v>-182373681.02000001</v>
      </c>
      <c r="AP69" s="79">
        <v>481248716.10000002</v>
      </c>
      <c r="AQ69" s="81"/>
      <c r="AR69" s="82">
        <f t="shared" si="5"/>
        <v>586631322.08000004</v>
      </c>
      <c r="AS69" s="84">
        <f t="shared" si="6"/>
        <v>586631322.08000004</v>
      </c>
    </row>
    <row r="70" spans="1:45" x14ac:dyDescent="0.2">
      <c r="A70" s="74">
        <v>63</v>
      </c>
      <c r="B70" s="75" t="s">
        <v>202</v>
      </c>
      <c r="C70" s="75" t="s">
        <v>142</v>
      </c>
      <c r="D70" s="76" t="s">
        <v>163</v>
      </c>
      <c r="E70" s="85">
        <v>9024271</v>
      </c>
      <c r="F70" s="78" t="s">
        <v>94</v>
      </c>
      <c r="G70" s="79"/>
      <c r="H70" s="79"/>
      <c r="I70" s="79">
        <v>177055.5</v>
      </c>
      <c r="J70" s="79">
        <v>19731436.300000001</v>
      </c>
      <c r="K70" s="79"/>
      <c r="L70" s="79">
        <f t="shared" si="9"/>
        <v>19908491.800000001</v>
      </c>
      <c r="M70" s="79"/>
      <c r="N70" s="79">
        <f>6500000+550980000</f>
        <v>557480000</v>
      </c>
      <c r="O70" s="79">
        <f>5001389.02+355468600.09</f>
        <v>360469989.10999995</v>
      </c>
      <c r="P70" s="79">
        <v>20832167.48</v>
      </c>
      <c r="Q70" s="79">
        <v>14508781.26</v>
      </c>
      <c r="R70" s="79"/>
      <c r="S70" s="79"/>
      <c r="T70" s="79">
        <v>22225659.449999999</v>
      </c>
      <c r="U70" s="79">
        <v>15537613.32</v>
      </c>
      <c r="V70" s="79"/>
      <c r="W70" s="79"/>
      <c r="X70" s="79"/>
      <c r="Y70" s="79">
        <v>9675838.9700000007</v>
      </c>
      <c r="Z70" s="79">
        <v>5391103.2699999996</v>
      </c>
      <c r="AA70" s="79">
        <f t="shared" si="8"/>
        <v>610213665.9000001</v>
      </c>
      <c r="AB70" s="79">
        <f t="shared" si="0"/>
        <v>395907486.95999992</v>
      </c>
      <c r="AC70" s="79">
        <v>400000</v>
      </c>
      <c r="AD70" s="79">
        <v>354166.79</v>
      </c>
      <c r="AE70" s="79"/>
      <c r="AF70" s="79">
        <f t="shared" si="1"/>
        <v>214352012.15000018</v>
      </c>
      <c r="AG70" s="80">
        <f t="shared" si="2"/>
        <v>234260503.9500002</v>
      </c>
      <c r="AH70" s="79"/>
      <c r="AI70" s="79"/>
      <c r="AJ70" s="79">
        <f t="shared" si="3"/>
        <v>0</v>
      </c>
      <c r="AK70" s="79">
        <v>167268517.49000001</v>
      </c>
      <c r="AL70" s="79"/>
      <c r="AM70" s="79">
        <v>-54267652.740000002</v>
      </c>
      <c r="AN70" s="79">
        <v>-11787387.09</v>
      </c>
      <c r="AO70" s="79">
        <f t="shared" si="4"/>
        <v>-66055039.829999998</v>
      </c>
      <c r="AP70" s="79">
        <v>133047026.29000001</v>
      </c>
      <c r="AQ70" s="81"/>
      <c r="AR70" s="82">
        <f t="shared" si="5"/>
        <v>234260503.95000002</v>
      </c>
      <c r="AS70" s="83">
        <f t="shared" si="6"/>
        <v>234260503.95000002</v>
      </c>
    </row>
    <row r="71" spans="1:45" ht="22.5" x14ac:dyDescent="0.2">
      <c r="A71" s="74">
        <v>64</v>
      </c>
      <c r="B71" s="75" t="s">
        <v>202</v>
      </c>
      <c r="C71" s="75" t="s">
        <v>135</v>
      </c>
      <c r="D71" s="76" t="s">
        <v>164</v>
      </c>
      <c r="E71" s="85">
        <v>9022562</v>
      </c>
      <c r="F71" s="78" t="s">
        <v>94</v>
      </c>
      <c r="G71" s="79"/>
      <c r="H71" s="79"/>
      <c r="I71" s="79">
        <v>1470879.93</v>
      </c>
      <c r="J71" s="79">
        <v>34914728.880000003</v>
      </c>
      <c r="K71" s="79"/>
      <c r="L71" s="79">
        <f t="shared" si="9"/>
        <v>36385608.810000002</v>
      </c>
      <c r="M71" s="79"/>
      <c r="N71" s="79">
        <v>711483660</v>
      </c>
      <c r="O71" s="79">
        <v>366627530.19999999</v>
      </c>
      <c r="P71" s="79">
        <v>27265178.77</v>
      </c>
      <c r="Q71" s="79">
        <v>21351010.329999998</v>
      </c>
      <c r="R71" s="79"/>
      <c r="S71" s="79"/>
      <c r="T71" s="79">
        <v>26279183.219999999</v>
      </c>
      <c r="U71" s="79">
        <v>14386370.060000001</v>
      </c>
      <c r="V71" s="79"/>
      <c r="W71" s="79">
        <v>1289580</v>
      </c>
      <c r="X71" s="79"/>
      <c r="Y71" s="79">
        <f>3857760+1386545</f>
        <v>5244305</v>
      </c>
      <c r="Z71" s="79">
        <v>3857760</v>
      </c>
      <c r="AA71" s="79">
        <f t="shared" si="8"/>
        <v>771561906.99000001</v>
      </c>
      <c r="AB71" s="79">
        <f t="shared" si="0"/>
        <v>406222670.58999997</v>
      </c>
      <c r="AC71" s="79">
        <v>200000</v>
      </c>
      <c r="AD71" s="79">
        <v>154166.79</v>
      </c>
      <c r="AE71" s="79"/>
      <c r="AF71" s="79">
        <f t="shared" si="1"/>
        <v>365385069.61000001</v>
      </c>
      <c r="AG71" s="80">
        <f t="shared" si="2"/>
        <v>401770678.42000002</v>
      </c>
      <c r="AH71" s="79"/>
      <c r="AI71" s="79"/>
      <c r="AJ71" s="79">
        <f t="shared" si="3"/>
        <v>0</v>
      </c>
      <c r="AK71" s="79">
        <v>199951886</v>
      </c>
      <c r="AL71" s="79"/>
      <c r="AM71" s="79">
        <v>-103908461.25</v>
      </c>
      <c r="AN71" s="79">
        <v>-14507213.869999999</v>
      </c>
      <c r="AO71" s="79">
        <f t="shared" si="4"/>
        <v>-118415675.12</v>
      </c>
      <c r="AP71" s="79">
        <v>320234467.54000002</v>
      </c>
      <c r="AQ71" s="81"/>
      <c r="AR71" s="82">
        <f t="shared" si="5"/>
        <v>401770678.42000002</v>
      </c>
      <c r="AS71" s="84">
        <f t="shared" si="6"/>
        <v>401770678.42000002</v>
      </c>
    </row>
    <row r="72" spans="1:45" x14ac:dyDescent="0.2">
      <c r="A72" s="74">
        <v>65</v>
      </c>
      <c r="B72" s="75" t="s">
        <v>202</v>
      </c>
      <c r="C72" s="75" t="s">
        <v>92</v>
      </c>
      <c r="D72" s="76" t="s">
        <v>165</v>
      </c>
      <c r="E72" s="85">
        <v>9022317</v>
      </c>
      <c r="F72" s="78" t="s">
        <v>94</v>
      </c>
      <c r="G72" s="79"/>
      <c r="H72" s="79"/>
      <c r="I72" s="79"/>
      <c r="J72" s="79">
        <v>61893262</v>
      </c>
      <c r="K72" s="79"/>
      <c r="L72" s="79">
        <f>SUM(G72:K72)</f>
        <v>61893262</v>
      </c>
      <c r="M72" s="79"/>
      <c r="N72" s="79">
        <v>1029586100</v>
      </c>
      <c r="O72" s="79">
        <v>491914973.79000002</v>
      </c>
      <c r="P72" s="79">
        <v>52396918</v>
      </c>
      <c r="Q72" s="79">
        <v>23670546.079999998</v>
      </c>
      <c r="R72" s="79"/>
      <c r="S72" s="79"/>
      <c r="T72" s="79">
        <v>39086178</v>
      </c>
      <c r="U72" s="79">
        <v>16857300.68</v>
      </c>
      <c r="V72" s="79"/>
      <c r="W72" s="79"/>
      <c r="X72" s="79"/>
      <c r="Y72" s="79">
        <v>2989000</v>
      </c>
      <c r="Z72" s="79"/>
      <c r="AA72" s="79">
        <f t="shared" si="8"/>
        <v>1124058196</v>
      </c>
      <c r="AB72" s="79">
        <f t="shared" ref="AB72:AB77" si="22">O72+Q72+S72+U72+Z72</f>
        <v>532442820.55000001</v>
      </c>
      <c r="AC72" s="79">
        <v>780000</v>
      </c>
      <c r="AD72" s="79">
        <v>727833.42</v>
      </c>
      <c r="AE72" s="79"/>
      <c r="AF72" s="79">
        <f t="shared" ref="AF72:AF77" si="23">AA72-AB72+AC72-AD72+AE72</f>
        <v>591667542.03000009</v>
      </c>
      <c r="AG72" s="80">
        <f t="shared" ref="AG72:AG77" si="24">AF72+L72</f>
        <v>653560804.03000009</v>
      </c>
      <c r="AH72" s="79"/>
      <c r="AI72" s="79"/>
      <c r="AJ72" s="79">
        <f t="shared" ref="AJ72:AJ77" si="25">AH72+AI72</f>
        <v>0</v>
      </c>
      <c r="AK72" s="79">
        <v>277411532</v>
      </c>
      <c r="AL72" s="79"/>
      <c r="AM72" s="79">
        <v>-135363814.59999999</v>
      </c>
      <c r="AN72" s="79">
        <v>8042296.75</v>
      </c>
      <c r="AO72" s="79">
        <f t="shared" ref="AO72:AO77" si="26">AM72+AN72</f>
        <v>-127321517.84999999</v>
      </c>
      <c r="AP72" s="79">
        <v>503470789.88</v>
      </c>
      <c r="AQ72" s="81"/>
      <c r="AR72" s="82">
        <f t="shared" ref="AR72:AR77" si="27">AK72+AL72+AO72+AP72+AQ72</f>
        <v>653560804.02999997</v>
      </c>
      <c r="AS72" s="83">
        <f t="shared" ref="AS72:AS76" si="28">AR72+AJ72</f>
        <v>653560804.02999997</v>
      </c>
    </row>
    <row r="73" spans="1:45" ht="22.5" x14ac:dyDescent="0.2">
      <c r="A73" s="74">
        <v>66</v>
      </c>
      <c r="B73" s="75" t="s">
        <v>202</v>
      </c>
      <c r="C73" s="75" t="s">
        <v>135</v>
      </c>
      <c r="D73" s="76" t="s">
        <v>166</v>
      </c>
      <c r="E73" s="85">
        <v>4273273</v>
      </c>
      <c r="F73" s="78" t="s">
        <v>94</v>
      </c>
      <c r="G73" s="79"/>
      <c r="H73" s="79"/>
      <c r="I73" s="79"/>
      <c r="J73" s="79">
        <v>14502300</v>
      </c>
      <c r="K73" s="79"/>
      <c r="L73" s="79">
        <f>SUM(G73:K73)</f>
        <v>14502300</v>
      </c>
      <c r="M73" s="79"/>
      <c r="N73" s="79">
        <v>915712399</v>
      </c>
      <c r="O73" s="79">
        <v>1271822.78</v>
      </c>
      <c r="P73" s="79">
        <v>15794530</v>
      </c>
      <c r="Q73" s="79">
        <v>174754.82</v>
      </c>
      <c r="R73" s="79"/>
      <c r="S73" s="79"/>
      <c r="T73" s="79">
        <v>4123136</v>
      </c>
      <c r="U73" s="79">
        <v>11859.47</v>
      </c>
      <c r="V73" s="79"/>
      <c r="W73" s="79"/>
      <c r="X73" s="79"/>
      <c r="Y73" s="79"/>
      <c r="Z73" s="79"/>
      <c r="AA73" s="79">
        <f t="shared" ref="AA73:AA77" si="29">N73+P73+R73+T73+V73+W73+X73+Y73</f>
        <v>935630065</v>
      </c>
      <c r="AB73" s="79">
        <f t="shared" si="22"/>
        <v>1458437.07</v>
      </c>
      <c r="AC73" s="79">
        <v>880000</v>
      </c>
      <c r="AD73" s="79"/>
      <c r="AE73" s="79"/>
      <c r="AF73" s="79">
        <f t="shared" si="23"/>
        <v>935051627.92999995</v>
      </c>
      <c r="AG73" s="80">
        <f t="shared" si="24"/>
        <v>949553927.92999995</v>
      </c>
      <c r="AH73" s="79"/>
      <c r="AI73" s="79"/>
      <c r="AJ73" s="79">
        <f t="shared" si="25"/>
        <v>0</v>
      </c>
      <c r="AK73" s="79"/>
      <c r="AL73" s="79"/>
      <c r="AM73" s="79"/>
      <c r="AN73" s="79">
        <v>949553927.92999995</v>
      </c>
      <c r="AO73" s="79">
        <f t="shared" si="26"/>
        <v>949553927.92999995</v>
      </c>
      <c r="AP73" s="79"/>
      <c r="AQ73" s="81"/>
      <c r="AR73" s="82">
        <f t="shared" si="27"/>
        <v>949553927.92999995</v>
      </c>
      <c r="AS73" s="83">
        <f t="shared" si="28"/>
        <v>949553927.92999995</v>
      </c>
    </row>
    <row r="74" spans="1:45" x14ac:dyDescent="0.2">
      <c r="A74" s="74">
        <v>67</v>
      </c>
      <c r="B74" s="75" t="s">
        <v>202</v>
      </c>
      <c r="C74" s="75" t="s">
        <v>92</v>
      </c>
      <c r="D74" s="76" t="s">
        <v>167</v>
      </c>
      <c r="E74" s="85">
        <v>9022503</v>
      </c>
      <c r="F74" s="78" t="s">
        <v>94</v>
      </c>
      <c r="G74" s="79"/>
      <c r="H74" s="79"/>
      <c r="I74" s="79">
        <v>1104000</v>
      </c>
      <c r="J74" s="79">
        <v>35005873.469999999</v>
      </c>
      <c r="K74" s="79"/>
      <c r="L74" s="79">
        <f>SUM(G74:K74)</f>
        <v>36109873.469999999</v>
      </c>
      <c r="M74" s="79"/>
      <c r="N74" s="79">
        <v>1080257750</v>
      </c>
      <c r="O74" s="79">
        <v>527602436.35000002</v>
      </c>
      <c r="P74" s="79">
        <v>51162792</v>
      </c>
      <c r="Q74" s="79">
        <v>41259774.270000003</v>
      </c>
      <c r="R74" s="79"/>
      <c r="S74" s="79"/>
      <c r="T74" s="79">
        <v>82167744.010000005</v>
      </c>
      <c r="U74" s="79">
        <v>57216741.859999999</v>
      </c>
      <c r="V74" s="79"/>
      <c r="W74" s="79">
        <v>492000</v>
      </c>
      <c r="X74" s="79"/>
      <c r="Y74" s="79"/>
      <c r="Z74" s="79"/>
      <c r="AA74" s="79">
        <f t="shared" si="29"/>
        <v>1214080286.01</v>
      </c>
      <c r="AB74" s="79">
        <f t="shared" si="22"/>
        <v>626078952.48000002</v>
      </c>
      <c r="AC74" s="79">
        <v>1262500</v>
      </c>
      <c r="AD74" s="79">
        <v>1249999.8500000001</v>
      </c>
      <c r="AE74" s="79"/>
      <c r="AF74" s="79">
        <f t="shared" si="23"/>
        <v>588013833.67999995</v>
      </c>
      <c r="AG74" s="80">
        <f t="shared" si="24"/>
        <v>624123707.14999998</v>
      </c>
      <c r="AH74" s="79">
        <v>1113000</v>
      </c>
      <c r="AI74" s="79"/>
      <c r="AJ74" s="79">
        <f t="shared" si="25"/>
        <v>1113000</v>
      </c>
      <c r="AK74" s="79">
        <v>348796927</v>
      </c>
      <c r="AL74" s="79"/>
      <c r="AM74" s="79">
        <v>-145747959.18000001</v>
      </c>
      <c r="AN74" s="79">
        <v>7605329.21</v>
      </c>
      <c r="AO74" s="79">
        <f t="shared" si="26"/>
        <v>-138142629.97</v>
      </c>
      <c r="AP74" s="79">
        <v>412356410.12</v>
      </c>
      <c r="AQ74" s="81"/>
      <c r="AR74" s="82">
        <f t="shared" si="27"/>
        <v>623010707.14999998</v>
      </c>
      <c r="AS74" s="84">
        <f t="shared" si="28"/>
        <v>624123707.14999998</v>
      </c>
    </row>
    <row r="75" spans="1:45" x14ac:dyDescent="0.2">
      <c r="A75" s="74">
        <v>68</v>
      </c>
      <c r="B75" s="75" t="s">
        <v>202</v>
      </c>
      <c r="C75" s="75" t="s">
        <v>92</v>
      </c>
      <c r="D75" s="76" t="s">
        <v>168</v>
      </c>
      <c r="E75" s="85">
        <v>9022309</v>
      </c>
      <c r="F75" s="78" t="s">
        <v>94</v>
      </c>
      <c r="G75" s="79"/>
      <c r="H75" s="79"/>
      <c r="I75" s="79"/>
      <c r="J75" s="79">
        <v>44655427.200000003</v>
      </c>
      <c r="K75" s="79"/>
      <c r="L75" s="79">
        <f t="shared" ref="L75:L78" si="30">SUM(G75:K75)</f>
        <v>44655427.200000003</v>
      </c>
      <c r="M75" s="79"/>
      <c r="N75" s="79">
        <v>1036241800</v>
      </c>
      <c r="O75" s="79">
        <v>435221579.81</v>
      </c>
      <c r="P75" s="79">
        <v>70983635</v>
      </c>
      <c r="Q75" s="79">
        <v>40562603.140000001</v>
      </c>
      <c r="R75" s="79"/>
      <c r="S75" s="79"/>
      <c r="T75" s="79">
        <v>56361701.93</v>
      </c>
      <c r="U75" s="79">
        <v>36706355.850000001</v>
      </c>
      <c r="V75" s="79"/>
      <c r="W75" s="79">
        <v>2593791.64</v>
      </c>
      <c r="X75" s="79"/>
      <c r="Y75" s="79">
        <v>77001100</v>
      </c>
      <c r="Z75" s="79">
        <v>48535393.68</v>
      </c>
      <c r="AA75" s="79">
        <f t="shared" si="29"/>
        <v>1243182028.5700002</v>
      </c>
      <c r="AB75" s="79">
        <f t="shared" si="22"/>
        <v>561025932.48000002</v>
      </c>
      <c r="AC75" s="79">
        <v>910000</v>
      </c>
      <c r="AD75" s="79">
        <v>563833.21</v>
      </c>
      <c r="AE75" s="79"/>
      <c r="AF75" s="79">
        <f t="shared" si="23"/>
        <v>682502262.88000011</v>
      </c>
      <c r="AG75" s="80">
        <f t="shared" si="24"/>
        <v>727157690.08000016</v>
      </c>
      <c r="AH75" s="79"/>
      <c r="AI75" s="79"/>
      <c r="AJ75" s="79">
        <f t="shared" si="25"/>
        <v>0</v>
      </c>
      <c r="AK75" s="79">
        <v>349428570.00999999</v>
      </c>
      <c r="AL75" s="79"/>
      <c r="AM75" s="79">
        <v>-177057399.69</v>
      </c>
      <c r="AN75" s="79">
        <v>-26132296.600000001</v>
      </c>
      <c r="AO75" s="79">
        <f t="shared" si="26"/>
        <v>-203189696.28999999</v>
      </c>
      <c r="AP75" s="79">
        <v>580918816.36000001</v>
      </c>
      <c r="AQ75" s="81"/>
      <c r="AR75" s="82">
        <f t="shared" si="27"/>
        <v>727157690.08000004</v>
      </c>
      <c r="AS75" s="84">
        <f t="shared" si="28"/>
        <v>727157690.08000004</v>
      </c>
    </row>
    <row r="76" spans="1:45" x14ac:dyDescent="0.2">
      <c r="A76" s="74">
        <v>69</v>
      </c>
      <c r="B76" s="75" t="s">
        <v>202</v>
      </c>
      <c r="C76" s="75" t="s">
        <v>92</v>
      </c>
      <c r="D76" s="76" t="s">
        <v>169</v>
      </c>
      <c r="E76" s="85">
        <v>9022414</v>
      </c>
      <c r="F76" s="78" t="s">
        <v>94</v>
      </c>
      <c r="G76" s="79"/>
      <c r="H76" s="79"/>
      <c r="I76" s="79"/>
      <c r="J76" s="79">
        <v>44001472.799999997</v>
      </c>
      <c r="K76" s="79"/>
      <c r="L76" s="79">
        <f t="shared" si="30"/>
        <v>44001472.799999997</v>
      </c>
      <c r="M76" s="79"/>
      <c r="N76" s="79">
        <v>650828000</v>
      </c>
      <c r="O76" s="79">
        <v>282025466.82999998</v>
      </c>
      <c r="P76" s="79">
        <v>57869618</v>
      </c>
      <c r="Q76" s="79">
        <v>25175105.460000001</v>
      </c>
      <c r="R76" s="79"/>
      <c r="S76" s="79"/>
      <c r="T76" s="79">
        <v>65624059.399999999</v>
      </c>
      <c r="U76" s="79">
        <v>22458647.559999999</v>
      </c>
      <c r="V76" s="79"/>
      <c r="W76" s="79">
        <v>3296361.04</v>
      </c>
      <c r="X76" s="79"/>
      <c r="Y76" s="79">
        <v>51221531</v>
      </c>
      <c r="Z76" s="79">
        <v>11327482.83</v>
      </c>
      <c r="AA76" s="79">
        <f t="shared" si="29"/>
        <v>828839569.43999994</v>
      </c>
      <c r="AB76" s="79">
        <f t="shared" si="22"/>
        <v>340986702.67999995</v>
      </c>
      <c r="AC76" s="79">
        <v>380000</v>
      </c>
      <c r="AD76" s="79">
        <v>380000</v>
      </c>
      <c r="AE76" s="79"/>
      <c r="AF76" s="79">
        <f t="shared" si="23"/>
        <v>487852866.75999999</v>
      </c>
      <c r="AG76" s="80">
        <f t="shared" si="24"/>
        <v>531854339.56</v>
      </c>
      <c r="AH76" s="79"/>
      <c r="AI76" s="79"/>
      <c r="AJ76" s="79">
        <f t="shared" si="25"/>
        <v>0</v>
      </c>
      <c r="AK76" s="79">
        <v>405544037</v>
      </c>
      <c r="AL76" s="79"/>
      <c r="AM76" s="79">
        <v>-84797054.189999998</v>
      </c>
      <c r="AN76" s="79">
        <v>-1781052.89</v>
      </c>
      <c r="AO76" s="79">
        <f t="shared" si="26"/>
        <v>-86578107.079999998</v>
      </c>
      <c r="AP76" s="79">
        <v>212888409.63999999</v>
      </c>
      <c r="AQ76" s="81"/>
      <c r="AR76" s="82">
        <f t="shared" si="27"/>
        <v>531854339.56</v>
      </c>
      <c r="AS76" s="84">
        <f t="shared" si="28"/>
        <v>531854339.56</v>
      </c>
    </row>
    <row r="77" spans="1:45" x14ac:dyDescent="0.2">
      <c r="A77" s="74">
        <v>70</v>
      </c>
      <c r="B77" s="75" t="s">
        <v>202</v>
      </c>
      <c r="C77" s="75" t="s">
        <v>92</v>
      </c>
      <c r="D77" s="76" t="s">
        <v>170</v>
      </c>
      <c r="E77" s="85">
        <v>4273354</v>
      </c>
      <c r="F77" s="78" t="s">
        <v>94</v>
      </c>
      <c r="G77" s="79"/>
      <c r="H77" s="79"/>
      <c r="I77" s="79">
        <v>4650000</v>
      </c>
      <c r="J77" s="79">
        <v>9043999</v>
      </c>
      <c r="K77" s="79"/>
      <c r="L77" s="79">
        <f t="shared" si="30"/>
        <v>13693999</v>
      </c>
      <c r="M77" s="79"/>
      <c r="N77" s="79"/>
      <c r="O77" s="79"/>
      <c r="P77" s="79">
        <v>20068090</v>
      </c>
      <c r="Q77" s="79"/>
      <c r="R77" s="79"/>
      <c r="S77" s="79"/>
      <c r="T77" s="79">
        <v>11521100</v>
      </c>
      <c r="U77" s="79"/>
      <c r="V77" s="79"/>
      <c r="W77" s="79"/>
      <c r="X77" s="79"/>
      <c r="Y77" s="79"/>
      <c r="Z77" s="79"/>
      <c r="AA77" s="79">
        <f t="shared" si="29"/>
        <v>31589190</v>
      </c>
      <c r="AB77" s="79">
        <f t="shared" si="22"/>
        <v>0</v>
      </c>
      <c r="AC77" s="79">
        <v>1155000</v>
      </c>
      <c r="AD77" s="79"/>
      <c r="AE77" s="79"/>
      <c r="AF77" s="79">
        <f t="shared" si="23"/>
        <v>32744190</v>
      </c>
      <c r="AG77" s="80">
        <f t="shared" si="24"/>
        <v>46438189</v>
      </c>
      <c r="AH77" s="79">
        <v>4650000</v>
      </c>
      <c r="AI77" s="79"/>
      <c r="AJ77" s="79">
        <f t="shared" si="25"/>
        <v>4650000</v>
      </c>
      <c r="AK77" s="79"/>
      <c r="AL77" s="79"/>
      <c r="AM77" s="79"/>
      <c r="AN77" s="79">
        <v>41788189</v>
      </c>
      <c r="AO77" s="79">
        <f t="shared" si="26"/>
        <v>41788189</v>
      </c>
      <c r="AP77" s="79"/>
      <c r="AQ77" s="81"/>
      <c r="AR77" s="82">
        <f t="shared" si="27"/>
        <v>41788189</v>
      </c>
      <c r="AS77" s="84">
        <f>AR77+AJ77</f>
        <v>46438189</v>
      </c>
    </row>
    <row r="78" spans="1:45" x14ac:dyDescent="0.2">
      <c r="A78" s="74">
        <v>71</v>
      </c>
      <c r="B78" s="75" t="s">
        <v>202</v>
      </c>
      <c r="C78" s="75" t="s">
        <v>92</v>
      </c>
      <c r="D78" s="76" t="s">
        <v>171</v>
      </c>
      <c r="E78" s="77">
        <v>9022511</v>
      </c>
      <c r="F78" s="78" t="s">
        <v>94</v>
      </c>
      <c r="G78" s="79"/>
      <c r="H78" s="79"/>
      <c r="I78" s="79"/>
      <c r="J78" s="79">
        <v>54902122.399999999</v>
      </c>
      <c r="K78" s="79"/>
      <c r="L78" s="79">
        <f t="shared" si="30"/>
        <v>54902122.399999999</v>
      </c>
      <c r="M78" s="79"/>
      <c r="N78" s="79">
        <v>8042333890</v>
      </c>
      <c r="O78" s="79">
        <v>2441830805.0300002</v>
      </c>
      <c r="P78" s="79">
        <v>235340152.80000001</v>
      </c>
      <c r="Q78" s="79">
        <v>86244157.150000006</v>
      </c>
      <c r="R78" s="79">
        <v>39400000</v>
      </c>
      <c r="S78" s="79">
        <v>1641666.66</v>
      </c>
      <c r="T78" s="79">
        <v>131292825.12</v>
      </c>
      <c r="U78" s="79">
        <v>69361605.219999999</v>
      </c>
      <c r="V78" s="79"/>
      <c r="W78" s="79">
        <v>18847891</v>
      </c>
      <c r="X78" s="79"/>
      <c r="Y78" s="79"/>
      <c r="Z78" s="79"/>
      <c r="AA78" s="79">
        <f>N78+P78+R78+T78+V78+W78+X78+Y78</f>
        <v>8467214758.9200001</v>
      </c>
      <c r="AB78" s="79">
        <f>O78+Q78+S78+U78+Z78</f>
        <v>2599078234.0599999</v>
      </c>
      <c r="AC78" s="79">
        <v>2217360</v>
      </c>
      <c r="AD78" s="79">
        <v>2117359.9</v>
      </c>
      <c r="AE78" s="79"/>
      <c r="AF78" s="79">
        <f>AA78-AB78+AC78-AD78+AE78</f>
        <v>5868236524.960001</v>
      </c>
      <c r="AG78" s="80">
        <f>AF78+L78</f>
        <v>5923138647.3600006</v>
      </c>
      <c r="AH78" s="79">
        <v>21287700</v>
      </c>
      <c r="AI78" s="79"/>
      <c r="AJ78" s="79">
        <f>AH78+AI78</f>
        <v>21287700</v>
      </c>
      <c r="AK78" s="79">
        <v>1064412910.6</v>
      </c>
      <c r="AL78" s="79"/>
      <c r="AM78" s="79">
        <v>-857068514.70000005</v>
      </c>
      <c r="AN78" s="79">
        <v>27962313.559999999</v>
      </c>
      <c r="AO78" s="79">
        <f>AM78+AN78</f>
        <v>-829106201.1400001</v>
      </c>
      <c r="AP78" s="79">
        <v>5666544237.8999996</v>
      </c>
      <c r="AQ78" s="81"/>
      <c r="AR78" s="82">
        <f>AK78+AL78+AO78+AP78+AQ78</f>
        <v>5901850947.3599997</v>
      </c>
      <c r="AS78" s="84">
        <f>AR78+AJ78</f>
        <v>5923138647.3599997</v>
      </c>
    </row>
    <row r="79" spans="1:45" ht="22.5" x14ac:dyDescent="0.2">
      <c r="A79" s="74">
        <v>72</v>
      </c>
      <c r="B79" s="75" t="s">
        <v>202</v>
      </c>
      <c r="C79" s="75" t="s">
        <v>135</v>
      </c>
      <c r="D79" s="76" t="s">
        <v>172</v>
      </c>
      <c r="E79" s="85">
        <v>9022643</v>
      </c>
      <c r="F79" s="78" t="s">
        <v>94</v>
      </c>
      <c r="G79" s="79"/>
      <c r="H79" s="79"/>
      <c r="I79" s="79">
        <v>131269</v>
      </c>
      <c r="J79" s="79">
        <v>5752750</v>
      </c>
      <c r="K79" s="79"/>
      <c r="L79" s="79">
        <f t="shared" ref="L79" si="31">SUM(G79:K79)</f>
        <v>5884019</v>
      </c>
      <c r="M79" s="79"/>
      <c r="N79" s="79">
        <v>3466973743</v>
      </c>
      <c r="O79" s="79">
        <v>1594359901.3800001</v>
      </c>
      <c r="P79" s="79">
        <v>225692493.25</v>
      </c>
      <c r="Q79" s="79">
        <v>93020441.060000002</v>
      </c>
      <c r="R79" s="79"/>
      <c r="S79" s="79"/>
      <c r="T79" s="79">
        <v>151339415.58000001</v>
      </c>
      <c r="U79" s="79">
        <v>76206918.129999995</v>
      </c>
      <c r="V79" s="79"/>
      <c r="W79" s="79">
        <v>66476720.409999996</v>
      </c>
      <c r="X79" s="79"/>
      <c r="Y79" s="79">
        <v>20269700</v>
      </c>
      <c r="Z79" s="79">
        <v>20269700</v>
      </c>
      <c r="AA79" s="79">
        <f t="shared" ref="AA79:AA104" si="32">N79+P79+R79+T79+V79+W79+X79+Y79</f>
        <v>3930752072.2399998</v>
      </c>
      <c r="AB79" s="79">
        <f t="shared" ref="AB79:AB104" si="33">O79+Q79+S79+U79+Z79</f>
        <v>1783856960.5700002</v>
      </c>
      <c r="AC79" s="79">
        <v>910000</v>
      </c>
      <c r="AD79" s="79">
        <v>600625</v>
      </c>
      <c r="AE79" s="79"/>
      <c r="AF79" s="79">
        <f t="shared" ref="AF79:AF104" si="34">AA79-AB79+AC79-AD79+AE79</f>
        <v>2147204486.6699996</v>
      </c>
      <c r="AG79" s="80">
        <f t="shared" ref="AG79:AG104" si="35">AF79+L79</f>
        <v>2153088505.6699996</v>
      </c>
      <c r="AH79" s="79">
        <v>39256458.350000001</v>
      </c>
      <c r="AI79" s="79"/>
      <c r="AJ79" s="79">
        <f t="shared" ref="AJ79:AJ94" si="36">AH79+AI79</f>
        <v>39256458.350000001</v>
      </c>
      <c r="AK79" s="79">
        <v>889659565.42999995</v>
      </c>
      <c r="AL79" s="79"/>
      <c r="AM79" s="79">
        <v>-614459879.50999999</v>
      </c>
      <c r="AN79" s="79">
        <v>138676455.86000001</v>
      </c>
      <c r="AO79" s="79">
        <f t="shared" ref="AO79:AO94" si="37">AM79+AN79</f>
        <v>-475783423.64999998</v>
      </c>
      <c r="AP79" s="79">
        <v>1699955905.54</v>
      </c>
      <c r="AQ79" s="81"/>
      <c r="AR79" s="82">
        <f t="shared" ref="AR79" si="38">AK79+AL79+AO79+AP79+AQ79</f>
        <v>2113832047.3199999</v>
      </c>
      <c r="AS79" s="84">
        <f t="shared" ref="AS79" si="39">AR79+AJ79</f>
        <v>2153088505.6700001</v>
      </c>
    </row>
    <row r="80" spans="1:45" x14ac:dyDescent="0.2">
      <c r="A80" s="74">
        <v>73</v>
      </c>
      <c r="B80" s="75" t="s">
        <v>202</v>
      </c>
      <c r="C80" s="75" t="s">
        <v>92</v>
      </c>
      <c r="D80" s="76" t="s">
        <v>173</v>
      </c>
      <c r="E80" s="85">
        <v>9023453</v>
      </c>
      <c r="F80" s="78" t="s">
        <v>94</v>
      </c>
      <c r="G80" s="79"/>
      <c r="H80" s="79"/>
      <c r="I80" s="79"/>
      <c r="J80" s="79">
        <v>54747086.759999998</v>
      </c>
      <c r="K80" s="79"/>
      <c r="L80" s="79">
        <f t="shared" ref="L80:L104" si="40">SUM(G80:K80)</f>
        <v>54747086.759999998</v>
      </c>
      <c r="M80" s="79"/>
      <c r="N80" s="79">
        <v>2019212920</v>
      </c>
      <c r="O80" s="79">
        <v>781119019.44000006</v>
      </c>
      <c r="P80" s="79">
        <v>324341740.19999999</v>
      </c>
      <c r="Q80" s="79">
        <v>203357251.06999999</v>
      </c>
      <c r="R80" s="79"/>
      <c r="S80" s="79"/>
      <c r="T80" s="79">
        <v>88745507.959999993</v>
      </c>
      <c r="U80" s="79">
        <v>66274838.229999997</v>
      </c>
      <c r="V80" s="79"/>
      <c r="W80" s="79">
        <v>23612643.84</v>
      </c>
      <c r="X80" s="79"/>
      <c r="Y80" s="79">
        <v>40428665.119999997</v>
      </c>
      <c r="Z80" s="79">
        <v>19862125.16</v>
      </c>
      <c r="AA80" s="79">
        <f t="shared" si="32"/>
        <v>2496341477.1199999</v>
      </c>
      <c r="AB80" s="79">
        <f t="shared" si="33"/>
        <v>1070613233.9</v>
      </c>
      <c r="AC80" s="79">
        <v>996250</v>
      </c>
      <c r="AD80" s="79">
        <v>919583.21</v>
      </c>
      <c r="AE80" s="79"/>
      <c r="AF80" s="79">
        <f t="shared" si="34"/>
        <v>1425804910.0099998</v>
      </c>
      <c r="AG80" s="80">
        <f t="shared" si="35"/>
        <v>1480551996.7699997</v>
      </c>
      <c r="AH80" s="79">
        <v>21007850</v>
      </c>
      <c r="AI80" s="79"/>
      <c r="AJ80" s="79">
        <f t="shared" si="36"/>
        <v>21007850</v>
      </c>
      <c r="AK80" s="79">
        <v>1682720984.77</v>
      </c>
      <c r="AL80" s="79"/>
      <c r="AM80" s="79">
        <v>-400598621.60000002</v>
      </c>
      <c r="AN80" s="79">
        <v>7899969.4400000004</v>
      </c>
      <c r="AO80" s="79">
        <f t="shared" si="37"/>
        <v>-392698652.16000003</v>
      </c>
      <c r="AP80" s="79">
        <v>169521814.16</v>
      </c>
      <c r="AQ80" s="81"/>
      <c r="AR80" s="82">
        <f>AK80+AL80+AO80+AP80+AQ80</f>
        <v>1459544146.77</v>
      </c>
      <c r="AS80" s="84">
        <f>AR80+AJ80</f>
        <v>1480551996.77</v>
      </c>
    </row>
    <row r="81" spans="1:45" ht="22.5" x14ac:dyDescent="0.2">
      <c r="A81" s="74">
        <v>74</v>
      </c>
      <c r="B81" s="75" t="s">
        <v>202</v>
      </c>
      <c r="C81" s="75" t="s">
        <v>135</v>
      </c>
      <c r="D81" s="76" t="s">
        <v>174</v>
      </c>
      <c r="E81" s="85">
        <v>9022651</v>
      </c>
      <c r="F81" s="78" t="s">
        <v>94</v>
      </c>
      <c r="G81" s="79"/>
      <c r="H81" s="79"/>
      <c r="I81" s="79"/>
      <c r="J81" s="79">
        <v>20441573.07</v>
      </c>
      <c r="K81" s="79"/>
      <c r="L81" s="79">
        <f t="shared" si="40"/>
        <v>20441573.07</v>
      </c>
      <c r="M81" s="79"/>
      <c r="N81" s="79">
        <v>771265280</v>
      </c>
      <c r="O81" s="79">
        <v>542645842.36000001</v>
      </c>
      <c r="P81" s="79">
        <v>104395396.31</v>
      </c>
      <c r="Q81" s="79">
        <v>48473986.850000001</v>
      </c>
      <c r="R81" s="79"/>
      <c r="S81" s="79"/>
      <c r="T81" s="79">
        <v>26118283.300000001</v>
      </c>
      <c r="U81" s="79">
        <v>16710906.51</v>
      </c>
      <c r="V81" s="79"/>
      <c r="W81" s="79">
        <v>22204545.52</v>
      </c>
      <c r="X81" s="79"/>
      <c r="Y81" s="79">
        <v>36748040</v>
      </c>
      <c r="Z81" s="79">
        <v>36748040</v>
      </c>
      <c r="AA81" s="79">
        <f t="shared" si="32"/>
        <v>960731545.12999988</v>
      </c>
      <c r="AB81" s="79">
        <f t="shared" si="33"/>
        <v>644578775.72000003</v>
      </c>
      <c r="AC81" s="79">
        <v>1105000</v>
      </c>
      <c r="AD81" s="79">
        <v>795937.55</v>
      </c>
      <c r="AE81" s="79"/>
      <c r="AF81" s="79">
        <f t="shared" si="34"/>
        <v>316461831.85999984</v>
      </c>
      <c r="AG81" s="80">
        <f t="shared" si="35"/>
        <v>336903404.92999983</v>
      </c>
      <c r="AH81" s="79"/>
      <c r="AI81" s="79"/>
      <c r="AJ81" s="79">
        <f t="shared" si="36"/>
        <v>0</v>
      </c>
      <c r="AK81" s="79">
        <v>193312069.55000001</v>
      </c>
      <c r="AL81" s="79"/>
      <c r="AM81" s="79">
        <v>-128045058.55</v>
      </c>
      <c r="AN81" s="79">
        <v>-6492658.3700000001</v>
      </c>
      <c r="AO81" s="79">
        <f t="shared" si="37"/>
        <v>-134537716.91999999</v>
      </c>
      <c r="AP81" s="79">
        <v>278129052.30000001</v>
      </c>
      <c r="AQ81" s="81"/>
      <c r="AR81" s="82">
        <f t="shared" ref="AR81:AR104" si="41">AK81+AL81+AO81+AP81+AQ81</f>
        <v>336903404.93000007</v>
      </c>
      <c r="AS81" s="83">
        <f t="shared" ref="AS81:AS104" si="42">AR81+AJ81</f>
        <v>336903404.93000007</v>
      </c>
    </row>
    <row r="82" spans="1:45" ht="22.5" x14ac:dyDescent="0.2">
      <c r="A82" s="74">
        <v>75</v>
      </c>
      <c r="B82" s="75" t="s">
        <v>202</v>
      </c>
      <c r="C82" s="75" t="s">
        <v>175</v>
      </c>
      <c r="D82" s="76" t="s">
        <v>176</v>
      </c>
      <c r="E82" s="85">
        <v>9022724</v>
      </c>
      <c r="F82" s="78" t="s">
        <v>94</v>
      </c>
      <c r="G82" s="79"/>
      <c r="H82" s="79"/>
      <c r="I82" s="79"/>
      <c r="J82" s="79">
        <v>37512065.200000003</v>
      </c>
      <c r="K82" s="79"/>
      <c r="L82" s="79">
        <f t="shared" si="40"/>
        <v>37512065.200000003</v>
      </c>
      <c r="M82" s="79"/>
      <c r="N82" s="79">
        <v>1062625760</v>
      </c>
      <c r="O82" s="79">
        <v>482447422.92000002</v>
      </c>
      <c r="P82" s="79">
        <v>97624367.109999999</v>
      </c>
      <c r="Q82" s="79">
        <v>56187592.600000001</v>
      </c>
      <c r="R82" s="79"/>
      <c r="S82" s="79"/>
      <c r="T82" s="79">
        <v>43522660</v>
      </c>
      <c r="U82" s="79">
        <v>26361712.780000001</v>
      </c>
      <c r="V82" s="79"/>
      <c r="W82" s="79">
        <v>23655685.09</v>
      </c>
      <c r="X82" s="79"/>
      <c r="Y82" s="79">
        <v>7740640</v>
      </c>
      <c r="Z82" s="79">
        <v>3963079.86</v>
      </c>
      <c r="AA82" s="79">
        <f t="shared" si="32"/>
        <v>1235169112.1999998</v>
      </c>
      <c r="AB82" s="79">
        <f t="shared" si="33"/>
        <v>568959808.15999997</v>
      </c>
      <c r="AC82" s="79">
        <v>1437798</v>
      </c>
      <c r="AD82" s="79">
        <v>899010.95</v>
      </c>
      <c r="AE82" s="79"/>
      <c r="AF82" s="79">
        <f t="shared" si="34"/>
        <v>666748091.08999979</v>
      </c>
      <c r="AG82" s="80">
        <f t="shared" si="35"/>
        <v>704260156.28999984</v>
      </c>
      <c r="AH82" s="79">
        <v>339100</v>
      </c>
      <c r="AI82" s="79"/>
      <c r="AJ82" s="79">
        <f t="shared" si="36"/>
        <v>339100</v>
      </c>
      <c r="AK82" s="79">
        <v>228584830.28</v>
      </c>
      <c r="AL82" s="79"/>
      <c r="AM82" s="79">
        <v>-142339674.24000001</v>
      </c>
      <c r="AN82" s="79">
        <v>-1158939.18</v>
      </c>
      <c r="AO82" s="79">
        <f t="shared" si="37"/>
        <v>-143498613.42000002</v>
      </c>
      <c r="AP82" s="79">
        <v>618834839.42999995</v>
      </c>
      <c r="AQ82" s="81"/>
      <c r="AR82" s="82">
        <f t="shared" si="41"/>
        <v>703921056.28999996</v>
      </c>
      <c r="AS82" s="83">
        <f t="shared" si="42"/>
        <v>704260156.28999996</v>
      </c>
    </row>
    <row r="83" spans="1:45" x14ac:dyDescent="0.2">
      <c r="A83" s="74">
        <v>76</v>
      </c>
      <c r="B83" s="75" t="s">
        <v>202</v>
      </c>
      <c r="C83" s="75" t="s">
        <v>92</v>
      </c>
      <c r="D83" s="76" t="s">
        <v>177</v>
      </c>
      <c r="E83" s="85">
        <v>9022449</v>
      </c>
      <c r="F83" s="78" t="s">
        <v>94</v>
      </c>
      <c r="G83" s="79"/>
      <c r="H83" s="79"/>
      <c r="I83" s="79">
        <v>1351167</v>
      </c>
      <c r="J83" s="79">
        <v>42030521</v>
      </c>
      <c r="K83" s="79"/>
      <c r="L83" s="79">
        <f t="shared" si="40"/>
        <v>43381688</v>
      </c>
      <c r="M83" s="79"/>
      <c r="N83" s="79">
        <v>2622203000</v>
      </c>
      <c r="O83" s="79">
        <v>1575689693.51</v>
      </c>
      <c r="P83" s="79">
        <v>238420605.06</v>
      </c>
      <c r="Q83" s="79">
        <v>108314077.45</v>
      </c>
      <c r="R83" s="79"/>
      <c r="S83" s="79"/>
      <c r="T83" s="79">
        <v>102198525.23</v>
      </c>
      <c r="U83" s="79">
        <v>59516161.770000003</v>
      </c>
      <c r="V83" s="79"/>
      <c r="W83" s="79">
        <v>53948018.210000001</v>
      </c>
      <c r="X83" s="79"/>
      <c r="Y83" s="79">
        <v>111360000</v>
      </c>
      <c r="Z83" s="79">
        <v>111360000</v>
      </c>
      <c r="AA83" s="79">
        <f t="shared" si="32"/>
        <v>3128130148.5</v>
      </c>
      <c r="AB83" s="79">
        <f t="shared" si="33"/>
        <v>1854879932.73</v>
      </c>
      <c r="AC83" s="79">
        <v>1912500</v>
      </c>
      <c r="AD83" s="79">
        <v>1790000</v>
      </c>
      <c r="AE83" s="79"/>
      <c r="AF83" s="79">
        <f t="shared" si="34"/>
        <v>1273372715.77</v>
      </c>
      <c r="AG83" s="80">
        <f t="shared" si="35"/>
        <v>1316754403.77</v>
      </c>
      <c r="AH83" s="79">
        <v>50325891.200000003</v>
      </c>
      <c r="AI83" s="79"/>
      <c r="AJ83" s="79">
        <f t="shared" si="36"/>
        <v>50325891.200000003</v>
      </c>
      <c r="AK83" s="79">
        <v>769641549.73000002</v>
      </c>
      <c r="AL83" s="79"/>
      <c r="AM83" s="79">
        <v>-734335111.36000001</v>
      </c>
      <c r="AN83" s="79">
        <v>10821591.09</v>
      </c>
      <c r="AO83" s="79">
        <f t="shared" si="37"/>
        <v>-723513520.26999998</v>
      </c>
      <c r="AP83" s="79">
        <v>1220300483.1099999</v>
      </c>
      <c r="AQ83" s="81"/>
      <c r="AR83" s="82">
        <f t="shared" si="41"/>
        <v>1266428512.5699999</v>
      </c>
      <c r="AS83" s="84">
        <f t="shared" si="42"/>
        <v>1316754403.77</v>
      </c>
    </row>
    <row r="84" spans="1:45" x14ac:dyDescent="0.2">
      <c r="A84" s="74">
        <v>77</v>
      </c>
      <c r="B84" s="75" t="s">
        <v>202</v>
      </c>
      <c r="C84" s="75" t="s">
        <v>142</v>
      </c>
      <c r="D84" s="76" t="s">
        <v>178</v>
      </c>
      <c r="E84" s="85">
        <v>9024182</v>
      </c>
      <c r="F84" s="78" t="s">
        <v>94</v>
      </c>
      <c r="G84" s="79"/>
      <c r="H84" s="79"/>
      <c r="I84" s="79">
        <v>1202297</v>
      </c>
      <c r="J84" s="79">
        <v>29953337</v>
      </c>
      <c r="K84" s="79"/>
      <c r="L84" s="79">
        <f t="shared" si="40"/>
        <v>31155634</v>
      </c>
      <c r="M84" s="79"/>
      <c r="N84" s="79">
        <v>2306570000</v>
      </c>
      <c r="O84" s="79">
        <v>505459000.23000002</v>
      </c>
      <c r="P84" s="79">
        <v>95196529.890000001</v>
      </c>
      <c r="Q84" s="79">
        <v>59360462.880000003</v>
      </c>
      <c r="R84" s="79"/>
      <c r="S84" s="79"/>
      <c r="T84" s="79">
        <v>47345185.590000004</v>
      </c>
      <c r="U84" s="79">
        <v>32966514.93</v>
      </c>
      <c r="V84" s="79"/>
      <c r="W84" s="79">
        <v>23902860.640000001</v>
      </c>
      <c r="X84" s="79"/>
      <c r="Y84" s="79">
        <v>22456003</v>
      </c>
      <c r="Z84" s="79">
        <v>5446977.4199999999</v>
      </c>
      <c r="AA84" s="79">
        <f t="shared" si="32"/>
        <v>2495470579.1199999</v>
      </c>
      <c r="AB84" s="79">
        <f t="shared" si="33"/>
        <v>603232955.45999992</v>
      </c>
      <c r="AC84" s="79">
        <v>1073000</v>
      </c>
      <c r="AD84" s="79">
        <v>981333.58</v>
      </c>
      <c r="AE84" s="79"/>
      <c r="AF84" s="79">
        <f t="shared" si="34"/>
        <v>1892329290.0799999</v>
      </c>
      <c r="AG84" s="80">
        <f t="shared" si="35"/>
        <v>1923484924.0799999</v>
      </c>
      <c r="AH84" s="79"/>
      <c r="AI84" s="79"/>
      <c r="AJ84" s="79">
        <f t="shared" si="36"/>
        <v>0</v>
      </c>
      <c r="AK84" s="79">
        <v>773122346.61000001</v>
      </c>
      <c r="AL84" s="79"/>
      <c r="AM84" s="79">
        <v>-257997164.96000001</v>
      </c>
      <c r="AN84" s="79">
        <v>-32541745.420000002</v>
      </c>
      <c r="AO84" s="79">
        <f t="shared" si="37"/>
        <v>-290538910.38</v>
      </c>
      <c r="AP84" s="79">
        <v>1440901487.8499999</v>
      </c>
      <c r="AQ84" s="81"/>
      <c r="AR84" s="82">
        <f t="shared" si="41"/>
        <v>1923484924.0799999</v>
      </c>
      <c r="AS84" s="84">
        <f t="shared" si="42"/>
        <v>1923484924.0799999</v>
      </c>
    </row>
    <row r="85" spans="1:45" x14ac:dyDescent="0.2">
      <c r="A85" s="74">
        <v>78</v>
      </c>
      <c r="B85" s="75" t="s">
        <v>202</v>
      </c>
      <c r="C85" s="75" t="s">
        <v>179</v>
      </c>
      <c r="D85" s="76" t="s">
        <v>180</v>
      </c>
      <c r="E85" s="85">
        <v>9024174</v>
      </c>
      <c r="F85" s="78" t="s">
        <v>94</v>
      </c>
      <c r="G85" s="79"/>
      <c r="H85" s="79"/>
      <c r="I85" s="79">
        <v>451958</v>
      </c>
      <c r="J85" s="79">
        <v>35697970.5</v>
      </c>
      <c r="K85" s="79"/>
      <c r="L85" s="79">
        <f t="shared" si="40"/>
        <v>36149928.5</v>
      </c>
      <c r="M85" s="79"/>
      <c r="N85" s="79">
        <f>38000000+1372903000</f>
        <v>1410903000</v>
      </c>
      <c r="O85" s="79">
        <f>29260000.17+816293379.87</f>
        <v>845553380.03999996</v>
      </c>
      <c r="P85" s="79">
        <v>134371071.56</v>
      </c>
      <c r="Q85" s="79">
        <v>74925572.459999993</v>
      </c>
      <c r="R85" s="79"/>
      <c r="S85" s="79"/>
      <c r="T85" s="79">
        <v>82080171.579999998</v>
      </c>
      <c r="U85" s="79">
        <v>49380401.340000004</v>
      </c>
      <c r="V85" s="79"/>
      <c r="W85" s="79">
        <v>12896585.6</v>
      </c>
      <c r="X85" s="79"/>
      <c r="Y85" s="79">
        <v>19445195.199999999</v>
      </c>
      <c r="Z85" s="79">
        <v>4020656.59</v>
      </c>
      <c r="AA85" s="79">
        <f t="shared" si="32"/>
        <v>1659696023.9399998</v>
      </c>
      <c r="AB85" s="79">
        <f t="shared" si="33"/>
        <v>973880010.43000007</v>
      </c>
      <c r="AC85" s="79">
        <v>650000</v>
      </c>
      <c r="AD85" s="79">
        <v>604166.79</v>
      </c>
      <c r="AE85" s="79"/>
      <c r="AF85" s="79">
        <f t="shared" si="34"/>
        <v>685861846.71999979</v>
      </c>
      <c r="AG85" s="80">
        <f t="shared" si="35"/>
        <v>722011775.21999979</v>
      </c>
      <c r="AH85" s="79"/>
      <c r="AI85" s="79"/>
      <c r="AJ85" s="79">
        <f t="shared" si="36"/>
        <v>0</v>
      </c>
      <c r="AK85" s="79">
        <v>342415381.88999999</v>
      </c>
      <c r="AL85" s="79"/>
      <c r="AM85" s="79">
        <v>-186421926.47</v>
      </c>
      <c r="AN85" s="79">
        <v>-1823244.44</v>
      </c>
      <c r="AO85" s="79">
        <f t="shared" si="37"/>
        <v>-188245170.91</v>
      </c>
      <c r="AP85" s="79">
        <v>567841564.24000001</v>
      </c>
      <c r="AQ85" s="81"/>
      <c r="AR85" s="82">
        <f t="shared" si="41"/>
        <v>722011775.22000003</v>
      </c>
      <c r="AS85" s="84">
        <f t="shared" si="42"/>
        <v>722011775.22000003</v>
      </c>
    </row>
    <row r="86" spans="1:45" x14ac:dyDescent="0.2">
      <c r="A86" s="74">
        <v>79</v>
      </c>
      <c r="B86" s="75" t="s">
        <v>202</v>
      </c>
      <c r="C86" s="75" t="s">
        <v>92</v>
      </c>
      <c r="D86" s="76" t="s">
        <v>181</v>
      </c>
      <c r="E86" s="85">
        <v>9022341</v>
      </c>
      <c r="F86" s="78" t="s">
        <v>94</v>
      </c>
      <c r="G86" s="79"/>
      <c r="H86" s="79"/>
      <c r="I86" s="79"/>
      <c r="J86" s="79">
        <v>26083184</v>
      </c>
      <c r="K86" s="79"/>
      <c r="L86" s="79">
        <f t="shared" si="40"/>
        <v>26083184</v>
      </c>
      <c r="M86" s="79"/>
      <c r="N86" s="79">
        <v>4444650000</v>
      </c>
      <c r="O86" s="79">
        <v>2489004000</v>
      </c>
      <c r="P86" s="79">
        <v>334004389.08999997</v>
      </c>
      <c r="Q86" s="79">
        <v>151438847.56</v>
      </c>
      <c r="R86" s="79"/>
      <c r="S86" s="79"/>
      <c r="T86" s="79">
        <v>111202385.03</v>
      </c>
      <c r="U86" s="79">
        <v>66724166.859999999</v>
      </c>
      <c r="V86" s="79"/>
      <c r="W86" s="79">
        <v>52445014.329999998</v>
      </c>
      <c r="X86" s="79"/>
      <c r="Y86" s="79">
        <v>11206370</v>
      </c>
      <c r="Z86" s="79">
        <v>6767236.9699999997</v>
      </c>
      <c r="AA86" s="79">
        <f t="shared" si="32"/>
        <v>4953508158.4499998</v>
      </c>
      <c r="AB86" s="79">
        <f t="shared" si="33"/>
        <v>2713934251.3899999</v>
      </c>
      <c r="AC86" s="79">
        <v>898000</v>
      </c>
      <c r="AD86" s="79">
        <v>794833.21</v>
      </c>
      <c r="AE86" s="79"/>
      <c r="AF86" s="79">
        <f t="shared" si="34"/>
        <v>2239677073.8499999</v>
      </c>
      <c r="AG86" s="80">
        <f t="shared" si="35"/>
        <v>2265760257.8499999</v>
      </c>
      <c r="AH86" s="79">
        <v>48911795</v>
      </c>
      <c r="AI86" s="79"/>
      <c r="AJ86" s="79">
        <f t="shared" si="36"/>
        <v>48911795</v>
      </c>
      <c r="AK86" s="79">
        <v>669140746.70000005</v>
      </c>
      <c r="AL86" s="79"/>
      <c r="AM86" s="79">
        <v>-588697031.08000004</v>
      </c>
      <c r="AN86" s="79">
        <v>-28061870.469999999</v>
      </c>
      <c r="AO86" s="79">
        <f t="shared" si="37"/>
        <v>-616758901.55000007</v>
      </c>
      <c r="AP86" s="79">
        <v>2164466617.6999998</v>
      </c>
      <c r="AQ86" s="81"/>
      <c r="AR86" s="82">
        <f t="shared" si="41"/>
        <v>2216848462.8499999</v>
      </c>
      <c r="AS86" s="84">
        <f t="shared" si="42"/>
        <v>2265760257.8499999</v>
      </c>
    </row>
    <row r="87" spans="1:45" x14ac:dyDescent="0.2">
      <c r="A87" s="74">
        <v>80</v>
      </c>
      <c r="B87" s="75" t="s">
        <v>202</v>
      </c>
      <c r="C87" s="75" t="s">
        <v>92</v>
      </c>
      <c r="D87" s="76" t="s">
        <v>182</v>
      </c>
      <c r="E87" s="85">
        <v>9023577</v>
      </c>
      <c r="F87" s="78" t="s">
        <v>94</v>
      </c>
      <c r="G87" s="79"/>
      <c r="H87" s="79"/>
      <c r="I87" s="79"/>
      <c r="J87" s="79">
        <v>44977753.390000001</v>
      </c>
      <c r="K87" s="79"/>
      <c r="L87" s="79">
        <f>SUM(G87:K87)</f>
        <v>44977753.390000001</v>
      </c>
      <c r="M87" s="79"/>
      <c r="N87" s="79"/>
      <c r="O87" s="79"/>
      <c r="P87" s="79">
        <v>342403069.69</v>
      </c>
      <c r="Q87" s="79">
        <v>185682348.28999999</v>
      </c>
      <c r="R87" s="79"/>
      <c r="S87" s="79"/>
      <c r="T87" s="79">
        <v>94094573.5</v>
      </c>
      <c r="U87" s="79">
        <v>62829812.560000002</v>
      </c>
      <c r="V87" s="79"/>
      <c r="W87" s="79">
        <v>54778299.060000002</v>
      </c>
      <c r="X87" s="79"/>
      <c r="Y87" s="79"/>
      <c r="Z87" s="79"/>
      <c r="AA87" s="79">
        <f t="shared" si="32"/>
        <v>491275942.25</v>
      </c>
      <c r="AB87" s="79">
        <f t="shared" si="33"/>
        <v>248512160.84999999</v>
      </c>
      <c r="AC87" s="79">
        <v>1654500</v>
      </c>
      <c r="AD87" s="79">
        <v>1608666.79</v>
      </c>
      <c r="AE87" s="79"/>
      <c r="AF87" s="79">
        <f t="shared" si="34"/>
        <v>242809614.61000001</v>
      </c>
      <c r="AG87" s="80">
        <f t="shared" si="35"/>
        <v>287787368</v>
      </c>
      <c r="AH87" s="79">
        <v>85223409</v>
      </c>
      <c r="AI87" s="79"/>
      <c r="AJ87" s="79">
        <f t="shared" si="36"/>
        <v>85223409</v>
      </c>
      <c r="AK87" s="79">
        <v>656293123.36000001</v>
      </c>
      <c r="AL87" s="79"/>
      <c r="AM87" s="79">
        <v>-483376152.37</v>
      </c>
      <c r="AN87" s="79">
        <v>1388939.69</v>
      </c>
      <c r="AO87" s="79">
        <f t="shared" si="37"/>
        <v>-481987212.68000001</v>
      </c>
      <c r="AP87" s="79">
        <v>28258048.32</v>
      </c>
      <c r="AQ87" s="81"/>
      <c r="AR87" s="82">
        <f t="shared" si="41"/>
        <v>202563959</v>
      </c>
      <c r="AS87" s="84">
        <f t="shared" si="42"/>
        <v>287787368</v>
      </c>
    </row>
    <row r="88" spans="1:45" x14ac:dyDescent="0.2">
      <c r="A88" s="74">
        <v>81</v>
      </c>
      <c r="B88" s="75" t="s">
        <v>202</v>
      </c>
      <c r="C88" s="75" t="s">
        <v>92</v>
      </c>
      <c r="D88" s="76" t="s">
        <v>183</v>
      </c>
      <c r="E88" s="85">
        <v>9024611</v>
      </c>
      <c r="F88" s="78" t="s">
        <v>94</v>
      </c>
      <c r="G88" s="79"/>
      <c r="H88" s="79"/>
      <c r="I88" s="79"/>
      <c r="J88" s="79">
        <v>86849552.890000001</v>
      </c>
      <c r="K88" s="79"/>
      <c r="L88" s="79">
        <f t="shared" ref="L88:L91" si="43">SUM(G88:K88)</f>
        <v>86849552.890000001</v>
      </c>
      <c r="M88" s="79"/>
      <c r="N88" s="79">
        <v>7853298800</v>
      </c>
      <c r="O88" s="79">
        <v>3625606323.1199999</v>
      </c>
      <c r="P88" s="79">
        <v>655593159.16999996</v>
      </c>
      <c r="Q88" s="79">
        <v>304188432.81999999</v>
      </c>
      <c r="R88" s="79"/>
      <c r="S88" s="79"/>
      <c r="T88" s="79">
        <v>204262611.09</v>
      </c>
      <c r="U88" s="79">
        <v>108052260.59</v>
      </c>
      <c r="V88" s="79"/>
      <c r="W88" s="79">
        <v>90511681.689999998</v>
      </c>
      <c r="X88" s="79"/>
      <c r="Y88" s="79">
        <v>326835800</v>
      </c>
      <c r="Z88" s="79">
        <v>326634200</v>
      </c>
      <c r="AA88" s="79">
        <f>N88+P88+R88+T88+V88+W88+X88+Y88</f>
        <v>9130502051.9500008</v>
      </c>
      <c r="AB88" s="79">
        <f>O88+Q88+S88+U88+Z88</f>
        <v>4364481216.5300007</v>
      </c>
      <c r="AC88" s="79">
        <v>4898100</v>
      </c>
      <c r="AD88" s="79">
        <v>3478350.05</v>
      </c>
      <c r="AE88" s="79"/>
      <c r="AF88" s="79">
        <f>AA88-AB88+AC88-AD88+AE88</f>
        <v>4767440585.3699999</v>
      </c>
      <c r="AG88" s="80">
        <f>AF88+L88</f>
        <v>4854290138.2600002</v>
      </c>
      <c r="AH88" s="79">
        <v>78762908.180000007</v>
      </c>
      <c r="AI88" s="79"/>
      <c r="AJ88" s="79">
        <f>AH88+AI88</f>
        <v>78762908.180000007</v>
      </c>
      <c r="AK88" s="79">
        <v>1947750188.95</v>
      </c>
      <c r="AL88" s="79"/>
      <c r="AM88" s="79">
        <v>-856568243.23000002</v>
      </c>
      <c r="AN88" s="79">
        <v>1299834.24</v>
      </c>
      <c r="AO88" s="79">
        <f>AM88+AN88</f>
        <v>-855268408.99000001</v>
      </c>
      <c r="AP88" s="79">
        <v>3683045450.1199999</v>
      </c>
      <c r="AQ88" s="81"/>
      <c r="AR88" s="82">
        <f>AK88+AL88+AO88+AP88+AQ88</f>
        <v>4775527230.0799999</v>
      </c>
      <c r="AS88" s="83">
        <f>AR88+AJ88</f>
        <v>4854290138.2600002</v>
      </c>
    </row>
    <row r="89" spans="1:45" x14ac:dyDescent="0.2">
      <c r="A89" s="74">
        <v>82</v>
      </c>
      <c r="B89" s="75" t="s">
        <v>202</v>
      </c>
      <c r="C89" s="75" t="s">
        <v>92</v>
      </c>
      <c r="D89" s="76" t="s">
        <v>184</v>
      </c>
      <c r="E89" s="85">
        <v>9022481</v>
      </c>
      <c r="F89" s="78" t="s">
        <v>94</v>
      </c>
      <c r="G89" s="79"/>
      <c r="H89" s="79"/>
      <c r="I89" s="79"/>
      <c r="J89" s="79">
        <v>19152084.140000001</v>
      </c>
      <c r="K89" s="79"/>
      <c r="L89" s="79">
        <f t="shared" si="43"/>
        <v>19152084.140000001</v>
      </c>
      <c r="M89" s="79"/>
      <c r="N89" s="79">
        <v>3873432800</v>
      </c>
      <c r="O89" s="79">
        <v>1260091349.02</v>
      </c>
      <c r="P89" s="79">
        <v>76013103.400000006</v>
      </c>
      <c r="Q89" s="79">
        <v>71613306.790000007</v>
      </c>
      <c r="R89" s="79"/>
      <c r="S89" s="79"/>
      <c r="T89" s="79">
        <v>212060715.21000001</v>
      </c>
      <c r="U89" s="79">
        <v>93110032.640000001</v>
      </c>
      <c r="V89" s="79"/>
      <c r="W89" s="79">
        <v>38764554.560000002</v>
      </c>
      <c r="X89" s="79"/>
      <c r="Y89" s="79">
        <v>7820457.5999999996</v>
      </c>
      <c r="Z89" s="79">
        <v>3614447.83</v>
      </c>
      <c r="AA89" s="79">
        <f t="shared" si="32"/>
        <v>4208091630.77</v>
      </c>
      <c r="AB89" s="79">
        <f t="shared" si="33"/>
        <v>1428429136.28</v>
      </c>
      <c r="AC89" s="79">
        <v>996250</v>
      </c>
      <c r="AD89" s="79">
        <v>946250.12</v>
      </c>
      <c r="AE89" s="79"/>
      <c r="AF89" s="79">
        <f t="shared" si="34"/>
        <v>2779712494.3699999</v>
      </c>
      <c r="AG89" s="80">
        <f t="shared" si="35"/>
        <v>2798864578.5099998</v>
      </c>
      <c r="AH89" s="79">
        <v>27732461</v>
      </c>
      <c r="AI89" s="79"/>
      <c r="AJ89" s="79">
        <f t="shared" si="36"/>
        <v>27732461</v>
      </c>
      <c r="AK89" s="79">
        <v>731656279.24000001</v>
      </c>
      <c r="AL89" s="79"/>
      <c r="AM89" s="79">
        <v>-696213876.00999999</v>
      </c>
      <c r="AN89" s="79">
        <v>-31614564.969999999</v>
      </c>
      <c r="AO89" s="79">
        <f t="shared" si="37"/>
        <v>-727828440.98000002</v>
      </c>
      <c r="AP89" s="79">
        <v>2767304279.25</v>
      </c>
      <c r="AQ89" s="81"/>
      <c r="AR89" s="82">
        <f t="shared" si="41"/>
        <v>2771132117.5100002</v>
      </c>
      <c r="AS89" s="83">
        <f t="shared" si="42"/>
        <v>2798864578.5100002</v>
      </c>
    </row>
    <row r="90" spans="1:45" x14ac:dyDescent="0.2">
      <c r="A90" s="74">
        <v>83</v>
      </c>
      <c r="B90" s="75" t="s">
        <v>202</v>
      </c>
      <c r="C90" s="75" t="s">
        <v>92</v>
      </c>
      <c r="D90" s="76" t="s">
        <v>185</v>
      </c>
      <c r="E90" s="85">
        <v>9023747</v>
      </c>
      <c r="F90" s="78" t="s">
        <v>94</v>
      </c>
      <c r="G90" s="79"/>
      <c r="H90" s="79"/>
      <c r="I90" s="79">
        <v>1000000</v>
      </c>
      <c r="J90" s="79">
        <v>58895649.219999999</v>
      </c>
      <c r="K90" s="79"/>
      <c r="L90" s="79">
        <f t="shared" si="43"/>
        <v>59895649.219999999</v>
      </c>
      <c r="M90" s="79"/>
      <c r="N90" s="79">
        <v>2788361393</v>
      </c>
      <c r="O90" s="79">
        <v>1712360887.29</v>
      </c>
      <c r="P90" s="79">
        <v>430015578.36000001</v>
      </c>
      <c r="Q90" s="79">
        <v>197481747.15000001</v>
      </c>
      <c r="R90" s="79"/>
      <c r="S90" s="79"/>
      <c r="T90" s="79">
        <v>132061089.09999999</v>
      </c>
      <c r="U90" s="79">
        <v>89033113.420000002</v>
      </c>
      <c r="V90" s="79"/>
      <c r="W90" s="79"/>
      <c r="X90" s="79"/>
      <c r="Y90" s="79">
        <v>29191764.949999999</v>
      </c>
      <c r="Z90" s="79"/>
      <c r="AA90" s="79">
        <f t="shared" si="32"/>
        <v>3379629825.4099998</v>
      </c>
      <c r="AB90" s="79">
        <f t="shared" si="33"/>
        <v>1998875747.8600001</v>
      </c>
      <c r="AC90" s="79">
        <v>2084600</v>
      </c>
      <c r="AD90" s="79">
        <v>2007933.21</v>
      </c>
      <c r="AE90" s="79"/>
      <c r="AF90" s="79">
        <f t="shared" si="34"/>
        <v>1380830744.3399997</v>
      </c>
      <c r="AG90" s="80">
        <f t="shared" si="35"/>
        <v>1440726393.5599997</v>
      </c>
      <c r="AH90" s="79">
        <v>93415039</v>
      </c>
      <c r="AI90" s="79"/>
      <c r="AJ90" s="79">
        <f t="shared" si="36"/>
        <v>93415039</v>
      </c>
      <c r="AK90" s="79">
        <v>2601791557.8299999</v>
      </c>
      <c r="AL90" s="79"/>
      <c r="AM90" s="79">
        <v>-1473603294.28</v>
      </c>
      <c r="AN90" s="79">
        <v>35487720.039999999</v>
      </c>
      <c r="AO90" s="79">
        <f t="shared" si="37"/>
        <v>-1438115574.24</v>
      </c>
      <c r="AP90" s="79">
        <v>183635370.97</v>
      </c>
      <c r="AQ90" s="81"/>
      <c r="AR90" s="82">
        <f t="shared" si="41"/>
        <v>1347311354.5599999</v>
      </c>
      <c r="AS90" s="84">
        <f t="shared" si="42"/>
        <v>1440726393.5599999</v>
      </c>
    </row>
    <row r="91" spans="1:45" x14ac:dyDescent="0.2">
      <c r="A91" s="74">
        <v>84</v>
      </c>
      <c r="B91" s="75" t="s">
        <v>202</v>
      </c>
      <c r="C91" s="75" t="s">
        <v>92</v>
      </c>
      <c r="D91" s="76" t="s">
        <v>186</v>
      </c>
      <c r="E91" s="85">
        <v>9022368</v>
      </c>
      <c r="F91" s="78" t="s">
        <v>94</v>
      </c>
      <c r="G91" s="79"/>
      <c r="H91" s="79"/>
      <c r="I91" s="79"/>
      <c r="J91" s="79">
        <v>45585037.25</v>
      </c>
      <c r="K91" s="79"/>
      <c r="L91" s="79">
        <f t="shared" si="43"/>
        <v>45585037.25</v>
      </c>
      <c r="M91" s="79"/>
      <c r="N91" s="79">
        <v>1771240929</v>
      </c>
      <c r="O91" s="79">
        <v>818604379.44000006</v>
      </c>
      <c r="P91" s="79">
        <v>111014107.3</v>
      </c>
      <c r="Q91" s="79">
        <v>63209851.93</v>
      </c>
      <c r="R91" s="79">
        <v>10620000</v>
      </c>
      <c r="S91" s="79">
        <v>10620000</v>
      </c>
      <c r="T91" s="79">
        <v>81772674.439999998</v>
      </c>
      <c r="U91" s="79">
        <v>37697521.240000002</v>
      </c>
      <c r="V91" s="79"/>
      <c r="W91" s="79">
        <v>14073512.4</v>
      </c>
      <c r="X91" s="79"/>
      <c r="Y91" s="79">
        <v>17768305.879999999</v>
      </c>
      <c r="Z91" s="79">
        <v>11805293.640000001</v>
      </c>
      <c r="AA91" s="79">
        <f t="shared" si="32"/>
        <v>2006489529.0200002</v>
      </c>
      <c r="AB91" s="79">
        <f t="shared" si="33"/>
        <v>941937046.25</v>
      </c>
      <c r="AC91" s="79">
        <v>1412500</v>
      </c>
      <c r="AD91" s="79">
        <v>1366666.79</v>
      </c>
      <c r="AE91" s="79"/>
      <c r="AF91" s="79">
        <f>AA91-AB91+AC91-AD91+AE91</f>
        <v>1064598315.9800003</v>
      </c>
      <c r="AG91" s="80">
        <f t="shared" si="35"/>
        <v>1110183353.2300003</v>
      </c>
      <c r="AH91" s="79"/>
      <c r="AI91" s="79"/>
      <c r="AJ91" s="79">
        <f t="shared" si="36"/>
        <v>0</v>
      </c>
      <c r="AK91" s="79">
        <v>539113031.10000002</v>
      </c>
      <c r="AL91" s="79"/>
      <c r="AM91" s="79">
        <v>-147070149.34</v>
      </c>
      <c r="AN91" s="79">
        <v>-5386743.5199999996</v>
      </c>
      <c r="AO91" s="79">
        <f t="shared" si="37"/>
        <v>-152456892.86000001</v>
      </c>
      <c r="AP91" s="79">
        <v>723527214.99000001</v>
      </c>
      <c r="AQ91" s="81"/>
      <c r="AR91" s="82">
        <f t="shared" si="41"/>
        <v>1110183353.23</v>
      </c>
      <c r="AS91" s="83">
        <f t="shared" si="42"/>
        <v>1110183353.23</v>
      </c>
    </row>
    <row r="92" spans="1:45" x14ac:dyDescent="0.2">
      <c r="A92" s="74">
        <v>85</v>
      </c>
      <c r="B92" s="75" t="s">
        <v>202</v>
      </c>
      <c r="C92" s="75" t="s">
        <v>92</v>
      </c>
      <c r="D92" s="76" t="s">
        <v>187</v>
      </c>
      <c r="E92" s="85">
        <v>4247841</v>
      </c>
      <c r="F92" s="78" t="s">
        <v>94</v>
      </c>
      <c r="G92" s="79"/>
      <c r="H92" s="79"/>
      <c r="I92" s="79"/>
      <c r="J92" s="79">
        <v>9505325.7699999996</v>
      </c>
      <c r="K92" s="79"/>
      <c r="L92" s="79">
        <f t="shared" si="40"/>
        <v>9505325.7699999996</v>
      </c>
      <c r="M92" s="79"/>
      <c r="N92" s="79"/>
      <c r="O92" s="79"/>
      <c r="P92" s="79">
        <v>45494205.899999999</v>
      </c>
      <c r="Q92" s="79">
        <v>35644139.079999998</v>
      </c>
      <c r="R92" s="79"/>
      <c r="S92" s="79"/>
      <c r="T92" s="79">
        <v>15075270.369999999</v>
      </c>
      <c r="U92" s="79">
        <v>8815297.8800000008</v>
      </c>
      <c r="V92" s="79"/>
      <c r="W92" s="79">
        <v>2150433</v>
      </c>
      <c r="X92" s="79"/>
      <c r="Y92" s="79"/>
      <c r="Z92" s="79"/>
      <c r="AA92" s="79">
        <f t="shared" si="32"/>
        <v>62719909.269999996</v>
      </c>
      <c r="AB92" s="79">
        <f t="shared" si="33"/>
        <v>44459436.960000001</v>
      </c>
      <c r="AC92" s="79">
        <v>3250811.87</v>
      </c>
      <c r="AD92" s="79">
        <v>2237751.63</v>
      </c>
      <c r="AE92" s="79"/>
      <c r="AF92" s="79">
        <f t="shared" si="34"/>
        <v>19273532.549999997</v>
      </c>
      <c r="AG92" s="80">
        <f t="shared" si="35"/>
        <v>28778858.319999997</v>
      </c>
      <c r="AH92" s="79"/>
      <c r="AI92" s="79"/>
      <c r="AJ92" s="79">
        <f t="shared" si="36"/>
        <v>0</v>
      </c>
      <c r="AK92" s="79">
        <v>36180641.270000003</v>
      </c>
      <c r="AL92" s="79"/>
      <c r="AM92" s="79">
        <v>-16230769.789999999</v>
      </c>
      <c r="AN92" s="79">
        <f>-4104891.16+12062400</f>
        <v>7957508.8399999999</v>
      </c>
      <c r="AO92" s="79">
        <f t="shared" si="37"/>
        <v>-8273260.9499999993</v>
      </c>
      <c r="AP92" s="79">
        <v>871478</v>
      </c>
      <c r="AQ92" s="81"/>
      <c r="AR92" s="82">
        <f t="shared" si="41"/>
        <v>28778858.320000004</v>
      </c>
      <c r="AS92" s="84">
        <f t="shared" si="42"/>
        <v>28778858.320000004</v>
      </c>
    </row>
    <row r="93" spans="1:45" x14ac:dyDescent="0.2">
      <c r="A93" s="74">
        <v>86</v>
      </c>
      <c r="B93" s="75" t="s">
        <v>202</v>
      </c>
      <c r="C93" s="75" t="s">
        <v>92</v>
      </c>
      <c r="D93" s="76" t="s">
        <v>188</v>
      </c>
      <c r="E93" s="85">
        <v>4263812</v>
      </c>
      <c r="F93" s="78" t="s">
        <v>94</v>
      </c>
      <c r="G93" s="79"/>
      <c r="H93" s="79"/>
      <c r="I93" s="79">
        <v>66000</v>
      </c>
      <c r="J93" s="79">
        <v>3843740</v>
      </c>
      <c r="K93" s="79"/>
      <c r="L93" s="79">
        <f t="shared" ref="L93" si="44">SUM(G93:K93)</f>
        <v>3909740</v>
      </c>
      <c r="M93" s="79"/>
      <c r="N93" s="79"/>
      <c r="O93" s="79"/>
      <c r="P93" s="79">
        <v>14711788</v>
      </c>
      <c r="Q93" s="79">
        <v>1897101.85</v>
      </c>
      <c r="R93" s="79"/>
      <c r="S93" s="79"/>
      <c r="T93" s="79">
        <v>11256693</v>
      </c>
      <c r="U93" s="79">
        <v>542522.17000000004</v>
      </c>
      <c r="V93" s="79"/>
      <c r="W93" s="79">
        <v>1435695</v>
      </c>
      <c r="X93" s="79"/>
      <c r="Y93" s="79"/>
      <c r="Z93" s="79"/>
      <c r="AA93" s="79">
        <f t="shared" si="32"/>
        <v>27404176</v>
      </c>
      <c r="AB93" s="79">
        <f t="shared" si="33"/>
        <v>2439624.02</v>
      </c>
      <c r="AC93" s="79">
        <v>770000</v>
      </c>
      <c r="AD93" s="79">
        <v>141166.63</v>
      </c>
      <c r="AE93" s="79"/>
      <c r="AF93" s="79">
        <f t="shared" si="34"/>
        <v>25593385.350000001</v>
      </c>
      <c r="AG93" s="80">
        <f t="shared" si="35"/>
        <v>29503125.350000001</v>
      </c>
      <c r="AH93" s="79">
        <v>19559522</v>
      </c>
      <c r="AI93" s="79"/>
      <c r="AJ93" s="79">
        <f t="shared" si="36"/>
        <v>19559522</v>
      </c>
      <c r="AK93" s="79"/>
      <c r="AL93" s="79"/>
      <c r="AM93" s="79"/>
      <c r="AN93" s="79">
        <v>9943603.3499999996</v>
      </c>
      <c r="AO93" s="79">
        <f t="shared" si="37"/>
        <v>9943603.3499999996</v>
      </c>
      <c r="AP93" s="79"/>
      <c r="AQ93" s="81"/>
      <c r="AR93" s="82">
        <f t="shared" si="41"/>
        <v>9943603.3499999996</v>
      </c>
      <c r="AS93" s="84">
        <f t="shared" si="42"/>
        <v>29503125.350000001</v>
      </c>
    </row>
    <row r="94" spans="1:45" x14ac:dyDescent="0.2">
      <c r="A94" s="74">
        <v>87</v>
      </c>
      <c r="B94" s="75" t="s">
        <v>202</v>
      </c>
      <c r="C94" s="75" t="s">
        <v>92</v>
      </c>
      <c r="D94" s="76" t="s">
        <v>189</v>
      </c>
      <c r="E94" s="85">
        <v>4248368</v>
      </c>
      <c r="F94" s="78" t="s">
        <v>94</v>
      </c>
      <c r="G94" s="79">
        <v>587747.18999999994</v>
      </c>
      <c r="H94" s="79"/>
      <c r="I94" s="79">
        <v>950000</v>
      </c>
      <c r="J94" s="79">
        <v>5754975</v>
      </c>
      <c r="K94" s="79"/>
      <c r="L94" s="79">
        <f t="shared" si="40"/>
        <v>7292722.1899999995</v>
      </c>
      <c r="M94" s="79"/>
      <c r="N94" s="79"/>
      <c r="O94" s="79"/>
      <c r="P94" s="79">
        <v>13955350</v>
      </c>
      <c r="Q94" s="79">
        <v>10906995.43</v>
      </c>
      <c r="R94" s="79">
        <v>9500000</v>
      </c>
      <c r="S94" s="79">
        <v>9500000</v>
      </c>
      <c r="T94" s="79">
        <v>18265080</v>
      </c>
      <c r="U94" s="79">
        <v>14294887.109999999</v>
      </c>
      <c r="V94" s="79"/>
      <c r="W94" s="79">
        <v>1012730</v>
      </c>
      <c r="X94" s="79"/>
      <c r="Y94" s="79"/>
      <c r="Z94" s="79"/>
      <c r="AA94" s="79">
        <f t="shared" si="32"/>
        <v>42733160</v>
      </c>
      <c r="AB94" s="79">
        <f t="shared" si="33"/>
        <v>34701882.539999999</v>
      </c>
      <c r="AC94" s="79"/>
      <c r="AD94" s="79"/>
      <c r="AE94" s="79"/>
      <c r="AF94" s="79">
        <f t="shared" si="34"/>
        <v>8031277.4600000009</v>
      </c>
      <c r="AG94" s="80">
        <f t="shared" si="35"/>
        <v>15323999.65</v>
      </c>
      <c r="AH94" s="79"/>
      <c r="AI94" s="79"/>
      <c r="AJ94" s="79">
        <f t="shared" si="36"/>
        <v>0</v>
      </c>
      <c r="AK94" s="79">
        <v>56223380.420000002</v>
      </c>
      <c r="AL94" s="79"/>
      <c r="AM94" s="79">
        <v>-30406050.489999998</v>
      </c>
      <c r="AN94" s="79">
        <v>-10493330.279999999</v>
      </c>
      <c r="AO94" s="79">
        <f t="shared" si="37"/>
        <v>-40899380.769999996</v>
      </c>
      <c r="AP94" s="79"/>
      <c r="AQ94" s="81"/>
      <c r="AR94" s="82">
        <f t="shared" si="41"/>
        <v>15323999.650000006</v>
      </c>
      <c r="AS94" s="83">
        <f t="shared" si="42"/>
        <v>15323999.650000006</v>
      </c>
    </row>
    <row r="95" spans="1:45" ht="22.5" x14ac:dyDescent="0.2">
      <c r="A95" s="74">
        <v>88</v>
      </c>
      <c r="B95" s="75" t="s">
        <v>202</v>
      </c>
      <c r="C95" s="75" t="s">
        <v>190</v>
      </c>
      <c r="D95" s="76" t="s">
        <v>191</v>
      </c>
      <c r="E95" s="77">
        <v>9025227</v>
      </c>
      <c r="F95" s="78" t="s">
        <v>94</v>
      </c>
      <c r="G95" s="79">
        <v>163618796.87</v>
      </c>
      <c r="H95" s="79"/>
      <c r="I95" s="79">
        <v>792914250.29999995</v>
      </c>
      <c r="J95" s="79"/>
      <c r="K95" s="79"/>
      <c r="L95" s="79">
        <f t="shared" si="40"/>
        <v>956533047.16999996</v>
      </c>
      <c r="M95" s="79"/>
      <c r="N95" s="79"/>
      <c r="O95" s="79"/>
      <c r="P95" s="79"/>
      <c r="Q95" s="79"/>
      <c r="R95" s="79"/>
      <c r="S95" s="79"/>
      <c r="T95" s="79"/>
      <c r="U95" s="79"/>
      <c r="V95" s="79"/>
      <c r="W95" s="79"/>
      <c r="X95" s="79"/>
      <c r="Y95" s="79"/>
      <c r="Z95" s="79"/>
      <c r="AA95" s="79">
        <f t="shared" si="32"/>
        <v>0</v>
      </c>
      <c r="AB95" s="79">
        <f t="shared" si="33"/>
        <v>0</v>
      </c>
      <c r="AC95" s="79"/>
      <c r="AD95" s="79"/>
      <c r="AE95" s="79"/>
      <c r="AF95" s="79">
        <f t="shared" si="34"/>
        <v>0</v>
      </c>
      <c r="AG95" s="80">
        <f t="shared" si="35"/>
        <v>956533047.16999996</v>
      </c>
      <c r="AH95" s="79">
        <v>163000</v>
      </c>
      <c r="AI95" s="79"/>
      <c r="AJ95" s="79">
        <f>AH95+AI95</f>
        <v>163000</v>
      </c>
      <c r="AK95" s="79"/>
      <c r="AL95" s="79"/>
      <c r="AM95" s="79">
        <v>935746571.87</v>
      </c>
      <c r="AN95" s="79">
        <v>20623475.300000001</v>
      </c>
      <c r="AO95" s="79">
        <f>AM95+AN95</f>
        <v>956370047.16999996</v>
      </c>
      <c r="AP95" s="79"/>
      <c r="AQ95" s="81"/>
      <c r="AR95" s="82">
        <f t="shared" si="41"/>
        <v>956370047.16999996</v>
      </c>
      <c r="AS95" s="83">
        <f t="shared" si="42"/>
        <v>956533047.16999996</v>
      </c>
    </row>
    <row r="96" spans="1:45" ht="22.5" x14ac:dyDescent="0.2">
      <c r="A96" s="74">
        <v>89</v>
      </c>
      <c r="B96" s="75" t="s">
        <v>202</v>
      </c>
      <c r="C96" s="75" t="s">
        <v>192</v>
      </c>
      <c r="D96" s="76" t="s">
        <v>191</v>
      </c>
      <c r="E96" s="77">
        <v>9024212</v>
      </c>
      <c r="F96" s="78" t="s">
        <v>94</v>
      </c>
      <c r="G96" s="79">
        <v>2167959.84</v>
      </c>
      <c r="H96" s="79"/>
      <c r="I96" s="79">
        <v>318771953.60000002</v>
      </c>
      <c r="J96" s="79"/>
      <c r="K96" s="79"/>
      <c r="L96" s="79">
        <f t="shared" si="40"/>
        <v>320939913.44</v>
      </c>
      <c r="M96" s="79"/>
      <c r="N96" s="79"/>
      <c r="O96" s="79"/>
      <c r="P96" s="79"/>
      <c r="Q96" s="79"/>
      <c r="R96" s="79"/>
      <c r="S96" s="79"/>
      <c r="T96" s="79"/>
      <c r="U96" s="79"/>
      <c r="V96" s="79"/>
      <c r="W96" s="79"/>
      <c r="X96" s="79"/>
      <c r="Y96" s="79"/>
      <c r="Z96" s="79"/>
      <c r="AA96" s="79">
        <f t="shared" si="32"/>
        <v>0</v>
      </c>
      <c r="AB96" s="79">
        <f t="shared" si="33"/>
        <v>0</v>
      </c>
      <c r="AC96" s="79"/>
      <c r="AD96" s="79"/>
      <c r="AE96" s="79"/>
      <c r="AF96" s="79">
        <f t="shared" si="34"/>
        <v>0</v>
      </c>
      <c r="AG96" s="80">
        <f t="shared" si="35"/>
        <v>320939913.44</v>
      </c>
      <c r="AH96" s="79"/>
      <c r="AI96" s="79"/>
      <c r="AJ96" s="79">
        <f>AH96+AI96</f>
        <v>0</v>
      </c>
      <c r="AK96" s="79"/>
      <c r="AL96" s="79"/>
      <c r="AM96" s="79">
        <v>293920097.77999997</v>
      </c>
      <c r="AN96" s="79">
        <v>27019815.66</v>
      </c>
      <c r="AO96" s="79">
        <f>AM96+AN96</f>
        <v>320939913.44</v>
      </c>
      <c r="AP96" s="79"/>
      <c r="AQ96" s="81"/>
      <c r="AR96" s="82">
        <f t="shared" si="41"/>
        <v>320939913.44</v>
      </c>
      <c r="AS96" s="83">
        <f t="shared" si="42"/>
        <v>320939913.44</v>
      </c>
    </row>
    <row r="97" spans="1:45" ht="22.5" x14ac:dyDescent="0.2">
      <c r="A97" s="74">
        <v>90</v>
      </c>
      <c r="B97" s="75" t="s">
        <v>202</v>
      </c>
      <c r="C97" s="75" t="s">
        <v>193</v>
      </c>
      <c r="D97" s="76" t="s">
        <v>191</v>
      </c>
      <c r="E97" s="85">
        <v>9022732</v>
      </c>
      <c r="F97" s="78" t="s">
        <v>94</v>
      </c>
      <c r="G97" s="79">
        <v>3564719</v>
      </c>
      <c r="H97" s="79"/>
      <c r="I97" s="79">
        <v>247127367</v>
      </c>
      <c r="J97" s="79">
        <v>1200000</v>
      </c>
      <c r="K97" s="79"/>
      <c r="L97" s="79">
        <f t="shared" si="40"/>
        <v>251892086</v>
      </c>
      <c r="M97" s="79"/>
      <c r="N97" s="79"/>
      <c r="O97" s="79"/>
      <c r="P97" s="79"/>
      <c r="Q97" s="79"/>
      <c r="R97" s="79"/>
      <c r="S97" s="79"/>
      <c r="T97" s="79"/>
      <c r="U97" s="79"/>
      <c r="V97" s="79"/>
      <c r="W97" s="79"/>
      <c r="X97" s="79"/>
      <c r="Y97" s="79"/>
      <c r="Z97" s="79"/>
      <c r="AA97" s="79">
        <f t="shared" si="32"/>
        <v>0</v>
      </c>
      <c r="AB97" s="79">
        <f t="shared" si="33"/>
        <v>0</v>
      </c>
      <c r="AC97" s="79"/>
      <c r="AD97" s="79"/>
      <c r="AE97" s="79"/>
      <c r="AF97" s="79">
        <f t="shared" si="34"/>
        <v>0</v>
      </c>
      <c r="AG97" s="80">
        <f t="shared" si="35"/>
        <v>251892086</v>
      </c>
      <c r="AH97" s="79">
        <v>200000</v>
      </c>
      <c r="AI97" s="79"/>
      <c r="AJ97" s="79">
        <f>AH97+AI97</f>
        <v>200000</v>
      </c>
      <c r="AK97" s="79"/>
      <c r="AL97" s="79"/>
      <c r="AM97" s="79">
        <v>222451818</v>
      </c>
      <c r="AN97" s="79">
        <v>29240268</v>
      </c>
      <c r="AO97" s="79">
        <f>AM97+AN97</f>
        <v>251692086</v>
      </c>
      <c r="AP97" s="79"/>
      <c r="AQ97" s="81"/>
      <c r="AR97" s="82">
        <f t="shared" si="41"/>
        <v>251692086</v>
      </c>
      <c r="AS97" s="83">
        <f t="shared" si="42"/>
        <v>251892086</v>
      </c>
    </row>
    <row r="98" spans="1:45" ht="22.5" x14ac:dyDescent="0.2">
      <c r="A98" s="74">
        <v>91</v>
      </c>
      <c r="B98" s="75" t="s">
        <v>202</v>
      </c>
      <c r="C98" s="75" t="s">
        <v>135</v>
      </c>
      <c r="D98" s="76" t="s">
        <v>191</v>
      </c>
      <c r="E98" s="85">
        <v>9022597</v>
      </c>
      <c r="F98" s="78" t="s">
        <v>94</v>
      </c>
      <c r="G98" s="79">
        <v>37480072.460000001</v>
      </c>
      <c r="H98" s="79"/>
      <c r="I98" s="79">
        <v>348400310.74000001</v>
      </c>
      <c r="J98" s="79"/>
      <c r="K98" s="79"/>
      <c r="L98" s="79">
        <f t="shared" si="40"/>
        <v>385880383.19999999</v>
      </c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>
        <f t="shared" si="32"/>
        <v>0</v>
      </c>
      <c r="AB98" s="79">
        <f t="shared" si="33"/>
        <v>0</v>
      </c>
      <c r="AC98" s="79"/>
      <c r="AD98" s="79"/>
      <c r="AE98" s="79"/>
      <c r="AF98" s="79">
        <f t="shared" si="34"/>
        <v>0</v>
      </c>
      <c r="AG98" s="80">
        <f t="shared" si="35"/>
        <v>385880383.19999999</v>
      </c>
      <c r="AH98" s="79"/>
      <c r="AI98" s="79"/>
      <c r="AJ98" s="79">
        <f>AH98+AI98</f>
        <v>0</v>
      </c>
      <c r="AK98" s="79"/>
      <c r="AL98" s="79"/>
      <c r="AM98" s="79">
        <v>380422793.19999999</v>
      </c>
      <c r="AN98" s="79">
        <v>5457590</v>
      </c>
      <c r="AO98" s="79">
        <f>AM98+AN98</f>
        <v>385880383.19999999</v>
      </c>
      <c r="AP98" s="79"/>
      <c r="AQ98" s="81"/>
      <c r="AR98" s="82">
        <f t="shared" si="41"/>
        <v>385880383.19999999</v>
      </c>
      <c r="AS98" s="83">
        <f t="shared" si="42"/>
        <v>385880383.19999999</v>
      </c>
    </row>
    <row r="99" spans="1:45" x14ac:dyDescent="0.2">
      <c r="A99" s="74">
        <v>92</v>
      </c>
      <c r="B99" s="75" t="s">
        <v>202</v>
      </c>
      <c r="C99" s="75" t="s">
        <v>92</v>
      </c>
      <c r="D99" s="76" t="s">
        <v>194</v>
      </c>
      <c r="E99" s="77">
        <v>9025227</v>
      </c>
      <c r="F99" s="78" t="s">
        <v>94</v>
      </c>
      <c r="G99" s="79">
        <v>790412402.10000002</v>
      </c>
      <c r="H99" s="79"/>
      <c r="I99" s="79"/>
      <c r="J99" s="79"/>
      <c r="K99" s="79"/>
      <c r="L99" s="79">
        <f t="shared" si="40"/>
        <v>790412402.10000002</v>
      </c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>
        <f t="shared" si="32"/>
        <v>0</v>
      </c>
      <c r="AB99" s="79">
        <f t="shared" si="33"/>
        <v>0</v>
      </c>
      <c r="AC99" s="79"/>
      <c r="AD99" s="79"/>
      <c r="AE99" s="79"/>
      <c r="AF99" s="79">
        <f t="shared" si="34"/>
        <v>0</v>
      </c>
      <c r="AG99" s="80">
        <f t="shared" si="35"/>
        <v>790412402.10000002</v>
      </c>
      <c r="AH99" s="79">
        <v>239782194.83000001</v>
      </c>
      <c r="AI99" s="79"/>
      <c r="AJ99" s="79">
        <f t="shared" ref="AJ99:AJ104" si="45">AH99+AI99</f>
        <v>239782194.83000001</v>
      </c>
      <c r="AK99" s="79"/>
      <c r="AL99" s="79"/>
      <c r="AM99" s="79">
        <v>-441753964.00999999</v>
      </c>
      <c r="AN99" s="79">
        <v>992384171.27999997</v>
      </c>
      <c r="AO99" s="79">
        <f t="shared" ref="AO99:AO104" si="46">AM99+AN99</f>
        <v>550630207.26999998</v>
      </c>
      <c r="AP99" s="79"/>
      <c r="AQ99" s="81"/>
      <c r="AR99" s="82">
        <f t="shared" si="41"/>
        <v>550630207.26999998</v>
      </c>
      <c r="AS99" s="83">
        <f t="shared" si="42"/>
        <v>790412402.10000002</v>
      </c>
    </row>
    <row r="100" spans="1:45" x14ac:dyDescent="0.2">
      <c r="A100" s="74">
        <v>93</v>
      </c>
      <c r="B100" s="75" t="s">
        <v>202</v>
      </c>
      <c r="C100" s="75" t="s">
        <v>92</v>
      </c>
      <c r="D100" s="76" t="s">
        <v>195</v>
      </c>
      <c r="E100" s="77">
        <v>9025227</v>
      </c>
      <c r="F100" s="78" t="s">
        <v>94</v>
      </c>
      <c r="G100" s="79"/>
      <c r="H100" s="79"/>
      <c r="I100" s="79"/>
      <c r="J100" s="79"/>
      <c r="K100" s="79"/>
      <c r="L100" s="79">
        <f t="shared" si="40"/>
        <v>0</v>
      </c>
      <c r="M100" s="79"/>
      <c r="N100" s="79"/>
      <c r="O100" s="79"/>
      <c r="P100" s="79"/>
      <c r="Q100" s="79"/>
      <c r="R100" s="79"/>
      <c r="S100" s="79"/>
      <c r="T100" s="79"/>
      <c r="U100" s="79"/>
      <c r="V100" s="79"/>
      <c r="W100" s="79"/>
      <c r="X100" s="79"/>
      <c r="Y100" s="79"/>
      <c r="Z100" s="79"/>
      <c r="AA100" s="79">
        <f t="shared" si="32"/>
        <v>0</v>
      </c>
      <c r="AB100" s="79">
        <f t="shared" si="33"/>
        <v>0</v>
      </c>
      <c r="AC100" s="79"/>
      <c r="AD100" s="79"/>
      <c r="AE100" s="79"/>
      <c r="AF100" s="79">
        <f t="shared" si="34"/>
        <v>0</v>
      </c>
      <c r="AG100" s="80">
        <f t="shared" si="35"/>
        <v>0</v>
      </c>
      <c r="AH100" s="79">
        <v>204382215</v>
      </c>
      <c r="AI100" s="79"/>
      <c r="AJ100" s="79">
        <f t="shared" si="45"/>
        <v>204382215</v>
      </c>
      <c r="AK100" s="79"/>
      <c r="AL100" s="79"/>
      <c r="AM100" s="79">
        <v>-926512433</v>
      </c>
      <c r="AN100" s="79">
        <v>722130218</v>
      </c>
      <c r="AO100" s="79">
        <f t="shared" si="46"/>
        <v>-204382215</v>
      </c>
      <c r="AP100" s="79"/>
      <c r="AQ100" s="81"/>
      <c r="AR100" s="82">
        <f t="shared" si="41"/>
        <v>-204382215</v>
      </c>
      <c r="AS100" s="83">
        <f t="shared" si="42"/>
        <v>0</v>
      </c>
    </row>
    <row r="101" spans="1:45" ht="22.5" x14ac:dyDescent="0.2">
      <c r="A101" s="74">
        <v>94</v>
      </c>
      <c r="B101" s="75" t="s">
        <v>202</v>
      </c>
      <c r="C101" s="75" t="s">
        <v>193</v>
      </c>
      <c r="D101" s="76" t="s">
        <v>196</v>
      </c>
      <c r="E101" s="85">
        <v>9022732</v>
      </c>
      <c r="F101" s="78" t="s">
        <v>94</v>
      </c>
      <c r="G101" s="79"/>
      <c r="H101" s="79"/>
      <c r="I101" s="79"/>
      <c r="J101" s="79"/>
      <c r="K101" s="79"/>
      <c r="L101" s="79">
        <f t="shared" si="40"/>
        <v>0</v>
      </c>
      <c r="M101" s="79"/>
      <c r="N101" s="79"/>
      <c r="O101" s="79"/>
      <c r="P101" s="79"/>
      <c r="Q101" s="79"/>
      <c r="R101" s="79"/>
      <c r="S101" s="79"/>
      <c r="T101" s="79"/>
      <c r="U101" s="79"/>
      <c r="V101" s="79"/>
      <c r="W101" s="79"/>
      <c r="X101" s="79"/>
      <c r="Y101" s="79"/>
      <c r="Z101" s="79"/>
      <c r="AA101" s="79">
        <f t="shared" si="32"/>
        <v>0</v>
      </c>
      <c r="AB101" s="79">
        <f t="shared" si="33"/>
        <v>0</v>
      </c>
      <c r="AC101" s="79"/>
      <c r="AD101" s="79"/>
      <c r="AE101" s="79"/>
      <c r="AF101" s="79">
        <f t="shared" si="34"/>
        <v>0</v>
      </c>
      <c r="AG101" s="80">
        <f t="shared" si="35"/>
        <v>0</v>
      </c>
      <c r="AH101" s="79">
        <v>2360574</v>
      </c>
      <c r="AI101" s="79"/>
      <c r="AJ101" s="79">
        <f t="shared" si="45"/>
        <v>2360574</v>
      </c>
      <c r="AK101" s="79"/>
      <c r="AL101" s="79"/>
      <c r="AM101" s="79">
        <v>-34866316</v>
      </c>
      <c r="AN101" s="79">
        <v>32505742</v>
      </c>
      <c r="AO101" s="79">
        <f t="shared" si="46"/>
        <v>-2360574</v>
      </c>
      <c r="AP101" s="79"/>
      <c r="AQ101" s="81"/>
      <c r="AR101" s="82">
        <f t="shared" si="41"/>
        <v>-2360574</v>
      </c>
      <c r="AS101" s="83">
        <f t="shared" si="42"/>
        <v>0</v>
      </c>
    </row>
    <row r="102" spans="1:45" x14ac:dyDescent="0.2">
      <c r="A102" s="74">
        <v>95</v>
      </c>
      <c r="B102" s="75" t="s">
        <v>202</v>
      </c>
      <c r="C102" s="88" t="s">
        <v>142</v>
      </c>
      <c r="D102" s="89" t="s">
        <v>197</v>
      </c>
      <c r="E102" s="77">
        <v>9024212</v>
      </c>
      <c r="F102" s="78" t="s">
        <v>94</v>
      </c>
      <c r="G102" s="92">
        <v>324</v>
      </c>
      <c r="H102" s="92"/>
      <c r="I102" s="92"/>
      <c r="J102" s="92"/>
      <c r="K102" s="92"/>
      <c r="L102" s="92">
        <f t="shared" si="40"/>
        <v>324</v>
      </c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>
        <f t="shared" si="32"/>
        <v>0</v>
      </c>
      <c r="AB102" s="92">
        <f t="shared" si="33"/>
        <v>0</v>
      </c>
      <c r="AC102" s="92"/>
      <c r="AD102" s="92"/>
      <c r="AE102" s="92"/>
      <c r="AF102" s="92">
        <f t="shared" si="34"/>
        <v>0</v>
      </c>
      <c r="AG102" s="93">
        <f t="shared" si="35"/>
        <v>324</v>
      </c>
      <c r="AH102" s="92">
        <v>34930247</v>
      </c>
      <c r="AI102" s="92"/>
      <c r="AJ102" s="92">
        <f t="shared" si="45"/>
        <v>34930247</v>
      </c>
      <c r="AK102" s="92"/>
      <c r="AL102" s="92"/>
      <c r="AM102" s="92">
        <v>-165071158</v>
      </c>
      <c r="AN102" s="92">
        <v>130141235</v>
      </c>
      <c r="AO102" s="92">
        <f t="shared" si="46"/>
        <v>-34929923</v>
      </c>
      <c r="AP102" s="92"/>
      <c r="AQ102" s="94"/>
      <c r="AR102" s="95">
        <f t="shared" si="41"/>
        <v>-34929923</v>
      </c>
      <c r="AS102" s="97">
        <f t="shared" si="42"/>
        <v>324</v>
      </c>
    </row>
    <row r="103" spans="1:45" ht="22.5" x14ac:dyDescent="0.2">
      <c r="A103" s="74">
        <v>96</v>
      </c>
      <c r="B103" s="75" t="s">
        <v>202</v>
      </c>
      <c r="C103" s="75" t="s">
        <v>135</v>
      </c>
      <c r="D103" s="76" t="s">
        <v>198</v>
      </c>
      <c r="E103" s="85">
        <v>9022597</v>
      </c>
      <c r="F103" s="78" t="s">
        <v>94</v>
      </c>
      <c r="G103" s="79">
        <v>22505861</v>
      </c>
      <c r="H103" s="79"/>
      <c r="I103" s="79"/>
      <c r="J103" s="79"/>
      <c r="K103" s="79"/>
      <c r="L103" s="79">
        <f t="shared" si="40"/>
        <v>22505861</v>
      </c>
      <c r="M103" s="79"/>
      <c r="N103" s="79"/>
      <c r="O103" s="79"/>
      <c r="P103" s="79"/>
      <c r="Q103" s="79"/>
      <c r="R103" s="79"/>
      <c r="S103" s="79"/>
      <c r="T103" s="79"/>
      <c r="U103" s="79"/>
      <c r="V103" s="79"/>
      <c r="W103" s="79"/>
      <c r="X103" s="79"/>
      <c r="Y103" s="79"/>
      <c r="Z103" s="79"/>
      <c r="AA103" s="79">
        <f t="shared" si="32"/>
        <v>0</v>
      </c>
      <c r="AB103" s="79">
        <f t="shared" si="33"/>
        <v>0</v>
      </c>
      <c r="AC103" s="79"/>
      <c r="AD103" s="79"/>
      <c r="AE103" s="79"/>
      <c r="AF103" s="79">
        <f t="shared" si="34"/>
        <v>0</v>
      </c>
      <c r="AG103" s="80">
        <f t="shared" si="35"/>
        <v>22505861</v>
      </c>
      <c r="AH103" s="79">
        <v>29466711</v>
      </c>
      <c r="AI103" s="79"/>
      <c r="AJ103" s="79">
        <f t="shared" si="45"/>
        <v>29466711</v>
      </c>
      <c r="AK103" s="79"/>
      <c r="AL103" s="79"/>
      <c r="AM103" s="79">
        <v>-212917152</v>
      </c>
      <c r="AN103" s="79">
        <v>205956302</v>
      </c>
      <c r="AO103" s="79">
        <f t="shared" si="46"/>
        <v>-6960850</v>
      </c>
      <c r="AP103" s="79"/>
      <c r="AQ103" s="81"/>
      <c r="AR103" s="82">
        <f t="shared" si="41"/>
        <v>-6960850</v>
      </c>
      <c r="AS103" s="83">
        <f t="shared" si="42"/>
        <v>22505861</v>
      </c>
    </row>
    <row r="104" spans="1:45" x14ac:dyDescent="0.2">
      <c r="A104" s="74">
        <v>97</v>
      </c>
      <c r="B104" s="75" t="s">
        <v>202</v>
      </c>
      <c r="C104" s="75" t="s">
        <v>92</v>
      </c>
      <c r="D104" s="76" t="s">
        <v>199</v>
      </c>
      <c r="E104" s="77">
        <v>9025047</v>
      </c>
      <c r="F104" s="78" t="s">
        <v>200</v>
      </c>
      <c r="G104" s="79"/>
      <c r="H104" s="79"/>
      <c r="I104" s="79"/>
      <c r="J104" s="79">
        <v>56046536.049999997</v>
      </c>
      <c r="K104" s="79"/>
      <c r="L104" s="79">
        <f t="shared" si="40"/>
        <v>56046536.049999997</v>
      </c>
      <c r="M104" s="79"/>
      <c r="N104" s="79">
        <v>174707182</v>
      </c>
      <c r="O104" s="79">
        <v>31115902.469999999</v>
      </c>
      <c r="P104" s="79">
        <v>263907072.27000001</v>
      </c>
      <c r="Q104" s="79">
        <v>208674054.44999999</v>
      </c>
      <c r="R104" s="79">
        <v>28536755.5</v>
      </c>
      <c r="S104" s="79">
        <v>19420847.5</v>
      </c>
      <c r="T104" s="79">
        <v>39537383.899999999</v>
      </c>
      <c r="U104" s="79">
        <v>17748636.719999999</v>
      </c>
      <c r="V104" s="79"/>
      <c r="W104" s="79"/>
      <c r="X104" s="79"/>
      <c r="Y104" s="79"/>
      <c r="Z104" s="79"/>
      <c r="AA104" s="79">
        <f t="shared" si="32"/>
        <v>506688393.66999996</v>
      </c>
      <c r="AB104" s="79">
        <f t="shared" si="33"/>
        <v>276959441.13999999</v>
      </c>
      <c r="AC104" s="79">
        <v>6214726.4500000002</v>
      </c>
      <c r="AD104" s="79">
        <v>6005726.4500000002</v>
      </c>
      <c r="AE104" s="79"/>
      <c r="AF104" s="79">
        <f t="shared" si="34"/>
        <v>229937952.52999997</v>
      </c>
      <c r="AG104" s="80">
        <f t="shared" si="35"/>
        <v>285984488.57999998</v>
      </c>
      <c r="AH104" s="79"/>
      <c r="AI104" s="79"/>
      <c r="AJ104" s="79">
        <f t="shared" si="45"/>
        <v>0</v>
      </c>
      <c r="AK104" s="79">
        <v>231311421.91999999</v>
      </c>
      <c r="AL104" s="79"/>
      <c r="AM104" s="79">
        <v>60980152.640000001</v>
      </c>
      <c r="AN104" s="79">
        <v>-30382259.670000002</v>
      </c>
      <c r="AO104" s="79">
        <f t="shared" si="46"/>
        <v>30597892.969999999</v>
      </c>
      <c r="AP104" s="79">
        <v>24075173.690000001</v>
      </c>
      <c r="AQ104" s="81"/>
      <c r="AR104" s="82">
        <f t="shared" si="41"/>
        <v>285984488.57999998</v>
      </c>
      <c r="AS104" s="83">
        <f t="shared" si="42"/>
        <v>285984488.57999998</v>
      </c>
    </row>
    <row r="105" spans="1:45" x14ac:dyDescent="0.2">
      <c r="A105" s="109" t="s">
        <v>201</v>
      </c>
      <c r="B105" s="109"/>
      <c r="C105" s="109"/>
      <c r="D105" s="109"/>
      <c r="E105" s="98"/>
      <c r="F105" s="98"/>
      <c r="G105" s="99">
        <f>SUM(G8:G104)</f>
        <v>1092795801.6500001</v>
      </c>
      <c r="H105" s="99">
        <f t="shared" ref="H105:AR105" si="47">SUM(H8:H104)</f>
        <v>201119091.46000001</v>
      </c>
      <c r="I105" s="99">
        <f t="shared" si="47"/>
        <v>3174149982.54</v>
      </c>
      <c r="J105" s="99">
        <f t="shared" si="47"/>
        <v>4170122719.5400004</v>
      </c>
      <c r="K105" s="99">
        <f t="shared" si="47"/>
        <v>4000000</v>
      </c>
      <c r="L105" s="99">
        <f t="shared" si="47"/>
        <v>8642187595.1900005</v>
      </c>
      <c r="M105" s="99">
        <f t="shared" si="47"/>
        <v>701818085.6400001</v>
      </c>
      <c r="N105" s="99">
        <f t="shared" si="47"/>
        <v>144240415740.13</v>
      </c>
      <c r="O105" s="99">
        <f t="shared" si="47"/>
        <v>72338115123.470016</v>
      </c>
      <c r="P105" s="99">
        <f t="shared" si="47"/>
        <v>23758116906.090008</v>
      </c>
      <c r="Q105" s="99">
        <f t="shared" si="47"/>
        <v>11438381391.440001</v>
      </c>
      <c r="R105" s="99">
        <f t="shared" si="47"/>
        <v>5614877423.4499998</v>
      </c>
      <c r="S105" s="99">
        <f t="shared" si="47"/>
        <v>3065557837.5709991</v>
      </c>
      <c r="T105" s="99">
        <f t="shared" si="47"/>
        <v>4426573526.1199989</v>
      </c>
      <c r="U105" s="99">
        <f t="shared" si="47"/>
        <v>2469573654.9499989</v>
      </c>
      <c r="V105" s="99">
        <f t="shared" si="47"/>
        <v>550281000</v>
      </c>
      <c r="W105" s="99">
        <f t="shared" si="47"/>
        <v>717701027.44999993</v>
      </c>
      <c r="X105" s="99">
        <f t="shared" si="47"/>
        <v>9356077679.1499996</v>
      </c>
      <c r="Y105" s="99">
        <f t="shared" si="47"/>
        <v>17460474737.330002</v>
      </c>
      <c r="Z105" s="99">
        <f t="shared" si="47"/>
        <v>4399971705.6500006</v>
      </c>
      <c r="AA105" s="99">
        <f t="shared" si="47"/>
        <v>206124518039.72003</v>
      </c>
      <c r="AB105" s="99">
        <f t="shared" si="47"/>
        <v>93711599713.080994</v>
      </c>
      <c r="AC105" s="99">
        <f t="shared" si="47"/>
        <v>317553916.82999998</v>
      </c>
      <c r="AD105" s="99">
        <f t="shared" si="47"/>
        <v>182245445.97999996</v>
      </c>
      <c r="AE105" s="99">
        <f t="shared" si="47"/>
        <v>1000000</v>
      </c>
      <c r="AF105" s="99">
        <f t="shared" si="47"/>
        <v>112549226797.48898</v>
      </c>
      <c r="AG105" s="99">
        <f t="shared" si="47"/>
        <v>121191414392.679</v>
      </c>
      <c r="AH105" s="99">
        <f t="shared" si="47"/>
        <v>2643412941.7499995</v>
      </c>
      <c r="AI105" s="99">
        <f t="shared" si="47"/>
        <v>0</v>
      </c>
      <c r="AJ105" s="99">
        <f t="shared" si="47"/>
        <v>2643412941.7499995</v>
      </c>
      <c r="AK105" s="99">
        <f t="shared" si="47"/>
        <v>52603934544.749992</v>
      </c>
      <c r="AL105" s="99">
        <f t="shared" si="47"/>
        <v>0</v>
      </c>
      <c r="AM105" s="99">
        <f t="shared" si="47"/>
        <v>16933063491.320004</v>
      </c>
      <c r="AN105" s="99">
        <f t="shared" si="47"/>
        <v>-177798701.91999978</v>
      </c>
      <c r="AO105" s="99">
        <f t="shared" si="47"/>
        <v>16755264789.400013</v>
      </c>
      <c r="AP105" s="99">
        <f t="shared" si="47"/>
        <v>49132673977.359993</v>
      </c>
      <c r="AQ105" s="99">
        <f t="shared" si="47"/>
        <v>56128139.420000002</v>
      </c>
      <c r="AR105" s="99">
        <f t="shared" si="47"/>
        <v>118548001450.93001</v>
      </c>
      <c r="AS105" s="99">
        <f>SUM(AS8:AS104)</f>
        <v>121191414392.67999</v>
      </c>
    </row>
    <row r="106" spans="1:45" x14ac:dyDescent="0.2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L106" s="100"/>
      <c r="M106" s="100"/>
      <c r="N106" s="100"/>
      <c r="O106" s="100"/>
      <c r="P106" s="100"/>
      <c r="Q106" s="100"/>
      <c r="R106" s="108">
        <f>R105-R104</f>
        <v>5586340667.9499998</v>
      </c>
      <c r="S106" s="108">
        <f>S105-S104</f>
        <v>3046136990.0709991</v>
      </c>
      <c r="T106" s="100"/>
      <c r="U106" s="100"/>
      <c r="V106" s="101"/>
      <c r="W106" s="101"/>
      <c r="X106" s="100"/>
      <c r="Y106" s="101"/>
      <c r="Z106" s="100"/>
      <c r="AA106" s="102">
        <f>AA105+AC105</f>
        <v>206442071956.55002</v>
      </c>
      <c r="AB106" s="100"/>
      <c r="AC106" s="100"/>
      <c r="AD106" s="101"/>
      <c r="AE106" s="100"/>
      <c r="AF106" s="100"/>
      <c r="AG106" s="103"/>
      <c r="AH106" s="101"/>
      <c r="AI106" s="101"/>
      <c r="AJ106" s="101"/>
      <c r="AK106" s="100"/>
      <c r="AL106" s="100"/>
      <c r="AM106" s="100"/>
      <c r="AN106" s="100"/>
      <c r="AO106" s="100"/>
      <c r="AP106" s="100"/>
      <c r="AQ106" s="100"/>
      <c r="AR106" s="101"/>
      <c r="AS106" s="104">
        <f>AS105-AS24-AS27-AS35-AS39-AS54</f>
        <v>110090389096.99998</v>
      </c>
    </row>
    <row r="107" spans="1:45" x14ac:dyDescent="0.2">
      <c r="AG107" s="107"/>
    </row>
    <row r="108" spans="1:45" x14ac:dyDescent="0.2">
      <c r="AG108" s="107"/>
    </row>
    <row r="109" spans="1:45" ht="15" x14ac:dyDescent="0.25">
      <c r="F109" s="71"/>
      <c r="G109" s="71"/>
      <c r="H109" s="71"/>
      <c r="I109" s="72"/>
      <c r="J109" s="72"/>
      <c r="K109" s="72"/>
      <c r="L109" s="72"/>
      <c r="M109" s="72"/>
      <c r="AG109" s="107"/>
    </row>
    <row r="110" spans="1:45" ht="15" x14ac:dyDescent="0.25">
      <c r="F110" s="72"/>
      <c r="G110" s="72"/>
      <c r="H110" s="72"/>
      <c r="I110" s="72"/>
      <c r="J110" s="72"/>
      <c r="K110" s="72"/>
      <c r="L110" s="72"/>
      <c r="M110" s="72"/>
      <c r="AG110" s="107"/>
    </row>
    <row r="111" spans="1:45" ht="15" x14ac:dyDescent="0.25">
      <c r="F111" s="72"/>
      <c r="G111" s="72"/>
      <c r="H111" s="72"/>
      <c r="I111" s="72"/>
      <c r="J111" s="72"/>
      <c r="K111" s="72"/>
      <c r="L111" s="72"/>
      <c r="M111" s="71"/>
      <c r="AG111" s="107"/>
    </row>
    <row r="112" spans="1:45" ht="15" x14ac:dyDescent="0.25">
      <c r="F112" s="72"/>
      <c r="G112" s="72"/>
      <c r="H112" s="72"/>
      <c r="I112" s="72"/>
      <c r="J112" s="72"/>
      <c r="K112" s="72"/>
      <c r="L112" s="72"/>
      <c r="M112" s="72"/>
      <c r="AG112" s="107"/>
    </row>
    <row r="113" spans="6:33" ht="15" x14ac:dyDescent="0.25">
      <c r="F113" s="72"/>
      <c r="G113" s="72"/>
      <c r="H113" s="72"/>
      <c r="I113" s="72"/>
      <c r="J113" s="72"/>
      <c r="K113" s="72"/>
      <c r="L113" s="72"/>
      <c r="M113" s="71"/>
      <c r="AG113" s="107"/>
    </row>
    <row r="114" spans="6:33" ht="15" x14ac:dyDescent="0.25">
      <c r="F114" s="72"/>
      <c r="G114" s="72"/>
      <c r="H114" s="72"/>
      <c r="I114" s="72"/>
      <c r="J114" s="72"/>
      <c r="K114" s="72"/>
      <c r="L114" s="72"/>
      <c r="M114" s="72"/>
      <c r="AG114" s="107"/>
    </row>
    <row r="115" spans="6:33" ht="15" x14ac:dyDescent="0.25">
      <c r="F115" s="72"/>
      <c r="G115" s="72"/>
      <c r="H115" s="72"/>
      <c r="I115" s="72"/>
      <c r="J115" s="72"/>
      <c r="K115" s="72"/>
      <c r="L115" s="72"/>
      <c r="M115" s="71"/>
      <c r="AG115" s="107"/>
    </row>
    <row r="116" spans="6:33" ht="15" x14ac:dyDescent="0.25">
      <c r="F116" s="72"/>
      <c r="G116" s="72"/>
      <c r="H116" s="72"/>
      <c r="I116" s="72"/>
      <c r="J116" s="72"/>
      <c r="K116" s="72"/>
      <c r="L116" s="72"/>
      <c r="M116" s="72"/>
      <c r="AG116" s="107"/>
    </row>
    <row r="117" spans="6:33" ht="15" x14ac:dyDescent="0.25">
      <c r="F117" s="106"/>
      <c r="G117" s="106"/>
      <c r="H117" s="106"/>
      <c r="I117" s="72"/>
      <c r="J117" s="71"/>
      <c r="K117" s="71"/>
      <c r="L117" s="72"/>
      <c r="M117" s="72"/>
      <c r="AG117" s="107"/>
    </row>
    <row r="118" spans="6:33" ht="15" x14ac:dyDescent="0.2">
      <c r="F118" s="105"/>
      <c r="G118" s="105"/>
      <c r="H118" s="105"/>
      <c r="I118" s="105"/>
      <c r="J118" s="105"/>
      <c r="K118" s="105"/>
      <c r="L118" s="105"/>
      <c r="M118" s="105"/>
      <c r="AG118" s="107"/>
    </row>
    <row r="119" spans="6:33" ht="15" x14ac:dyDescent="0.2">
      <c r="F119" s="1"/>
      <c r="G119" s="1"/>
      <c r="H119" s="1"/>
      <c r="I119" s="1"/>
      <c r="J119" s="1"/>
      <c r="K119" s="1"/>
      <c r="L119" s="105"/>
      <c r="M119" s="105"/>
      <c r="AG119" s="107"/>
    </row>
    <row r="120" spans="6:33" ht="15" x14ac:dyDescent="0.2">
      <c r="F120" s="105"/>
      <c r="G120" s="105"/>
      <c r="H120" s="71"/>
      <c r="I120" s="105"/>
      <c r="J120" s="105"/>
      <c r="K120" s="105"/>
      <c r="L120" s="105"/>
      <c r="M120" s="105"/>
      <c r="AG120" s="107"/>
    </row>
    <row r="121" spans="6:33" ht="15" x14ac:dyDescent="0.25">
      <c r="F121" s="72"/>
      <c r="G121" s="106"/>
      <c r="H121" s="106"/>
      <c r="I121" s="106"/>
      <c r="J121" s="72"/>
      <c r="K121" s="71"/>
      <c r="L121" s="71"/>
      <c r="M121" s="72"/>
      <c r="AG121" s="107"/>
    </row>
    <row r="122" spans="6:33" x14ac:dyDescent="0.2">
      <c r="AG122" s="107"/>
    </row>
    <row r="123" spans="6:33" x14ac:dyDescent="0.2">
      <c r="AG123" s="107"/>
    </row>
    <row r="124" spans="6:33" x14ac:dyDescent="0.2">
      <c r="AG124" s="107"/>
    </row>
    <row r="125" spans="6:33" x14ac:dyDescent="0.2">
      <c r="AG125" s="107"/>
    </row>
    <row r="126" spans="6:33" x14ac:dyDescent="0.2">
      <c r="AG126" s="107"/>
    </row>
    <row r="127" spans="6:33" x14ac:dyDescent="0.2">
      <c r="AG127" s="107"/>
    </row>
    <row r="128" spans="6:33" x14ac:dyDescent="0.2">
      <c r="AG128" s="107"/>
    </row>
    <row r="129" spans="33:33" x14ac:dyDescent="0.2">
      <c r="AG129" s="107"/>
    </row>
    <row r="130" spans="33:33" x14ac:dyDescent="0.2">
      <c r="AG130" s="107"/>
    </row>
    <row r="131" spans="33:33" x14ac:dyDescent="0.2">
      <c r="AG131" s="107"/>
    </row>
    <row r="132" spans="33:33" x14ac:dyDescent="0.2">
      <c r="AG132" s="107"/>
    </row>
    <row r="133" spans="33:33" x14ac:dyDescent="0.2">
      <c r="AG133" s="107"/>
    </row>
    <row r="134" spans="33:33" x14ac:dyDescent="0.2">
      <c r="AG134" s="107"/>
    </row>
    <row r="135" spans="33:33" x14ac:dyDescent="0.2">
      <c r="AG135" s="107"/>
    </row>
    <row r="136" spans="33:33" x14ac:dyDescent="0.2">
      <c r="AG136" s="107"/>
    </row>
    <row r="137" spans="33:33" x14ac:dyDescent="0.2">
      <c r="AG137" s="107"/>
    </row>
    <row r="138" spans="33:33" x14ac:dyDescent="0.2">
      <c r="AG138" s="107"/>
    </row>
    <row r="139" spans="33:33" x14ac:dyDescent="0.2">
      <c r="AG139" s="107"/>
    </row>
    <row r="140" spans="33:33" x14ac:dyDescent="0.2">
      <c r="AG140" s="107"/>
    </row>
    <row r="141" spans="33:33" x14ac:dyDescent="0.2">
      <c r="AG141" s="107"/>
    </row>
    <row r="142" spans="33:33" x14ac:dyDescent="0.2">
      <c r="AG142" s="107"/>
    </row>
    <row r="143" spans="33:33" x14ac:dyDescent="0.2">
      <c r="AG143" s="107"/>
    </row>
    <row r="144" spans="33:33" x14ac:dyDescent="0.2">
      <c r="AG144" s="107"/>
    </row>
    <row r="145" spans="33:33" x14ac:dyDescent="0.2">
      <c r="AG145" s="107"/>
    </row>
    <row r="146" spans="33:33" x14ac:dyDescent="0.2">
      <c r="AG146" s="107"/>
    </row>
    <row r="147" spans="33:33" x14ac:dyDescent="0.2">
      <c r="AG147" s="107"/>
    </row>
    <row r="148" spans="33:33" x14ac:dyDescent="0.2">
      <c r="AG148" s="107"/>
    </row>
    <row r="149" spans="33:33" x14ac:dyDescent="0.2">
      <c r="AG149" s="107"/>
    </row>
    <row r="150" spans="33:33" x14ac:dyDescent="0.2">
      <c r="AG150" s="107"/>
    </row>
    <row r="151" spans="33:33" x14ac:dyDescent="0.2">
      <c r="AG151" s="107"/>
    </row>
    <row r="152" spans="33:33" x14ac:dyDescent="0.2">
      <c r="AG152" s="107"/>
    </row>
    <row r="153" spans="33:33" x14ac:dyDescent="0.2">
      <c r="AG153" s="107"/>
    </row>
    <row r="154" spans="33:33" x14ac:dyDescent="0.2">
      <c r="AG154" s="107"/>
    </row>
    <row r="155" spans="33:33" x14ac:dyDescent="0.2">
      <c r="AG155" s="107"/>
    </row>
    <row r="156" spans="33:33" x14ac:dyDescent="0.2">
      <c r="AG156" s="107"/>
    </row>
    <row r="157" spans="33:33" x14ac:dyDescent="0.2">
      <c r="AG157" s="107"/>
    </row>
    <row r="158" spans="33:33" x14ac:dyDescent="0.2">
      <c r="AG158" s="107"/>
    </row>
    <row r="159" spans="33:33" x14ac:dyDescent="0.2">
      <c r="AG159" s="107"/>
    </row>
    <row r="160" spans="33:33" x14ac:dyDescent="0.2">
      <c r="AG160" s="107"/>
    </row>
    <row r="161" spans="33:33" x14ac:dyDescent="0.2">
      <c r="AG161" s="107"/>
    </row>
    <row r="162" spans="33:33" x14ac:dyDescent="0.2">
      <c r="AG162" s="107"/>
    </row>
    <row r="163" spans="33:33" x14ac:dyDescent="0.2">
      <c r="AG163" s="107"/>
    </row>
    <row r="164" spans="33:33" x14ac:dyDescent="0.2">
      <c r="AG164" s="107"/>
    </row>
    <row r="165" spans="33:33" x14ac:dyDescent="0.2">
      <c r="AG165" s="107"/>
    </row>
    <row r="166" spans="33:33" x14ac:dyDescent="0.2">
      <c r="AG166" s="107"/>
    </row>
    <row r="167" spans="33:33" x14ac:dyDescent="0.2">
      <c r="AG167" s="107"/>
    </row>
    <row r="168" spans="33:33" x14ac:dyDescent="0.2">
      <c r="AG168" s="107"/>
    </row>
    <row r="169" spans="33:33" x14ac:dyDescent="0.2">
      <c r="AG169" s="107"/>
    </row>
    <row r="170" spans="33:33" x14ac:dyDescent="0.2">
      <c r="AG170" s="107"/>
    </row>
    <row r="171" spans="33:33" x14ac:dyDescent="0.2">
      <c r="AG171" s="107"/>
    </row>
    <row r="172" spans="33:33" x14ac:dyDescent="0.2">
      <c r="AG172" s="107"/>
    </row>
    <row r="173" spans="33:33" x14ac:dyDescent="0.2">
      <c r="AG173" s="107"/>
    </row>
    <row r="174" spans="33:33" x14ac:dyDescent="0.2">
      <c r="AG174" s="107"/>
    </row>
    <row r="175" spans="33:33" x14ac:dyDescent="0.2">
      <c r="AG175" s="107"/>
    </row>
    <row r="176" spans="33:33" x14ac:dyDescent="0.2">
      <c r="AG176" s="107"/>
    </row>
    <row r="177" spans="33:33" x14ac:dyDescent="0.2">
      <c r="AG177" s="107"/>
    </row>
    <row r="178" spans="33:33" x14ac:dyDescent="0.2">
      <c r="AG178" s="107"/>
    </row>
    <row r="179" spans="33:33" x14ac:dyDescent="0.2">
      <c r="AG179" s="107"/>
    </row>
    <row r="180" spans="33:33" x14ac:dyDescent="0.2">
      <c r="AG180" s="107"/>
    </row>
    <row r="181" spans="33:33" x14ac:dyDescent="0.2">
      <c r="AG181" s="107"/>
    </row>
    <row r="182" spans="33:33" x14ac:dyDescent="0.2">
      <c r="AG182" s="107"/>
    </row>
    <row r="183" spans="33:33" x14ac:dyDescent="0.2">
      <c r="AG183" s="107"/>
    </row>
    <row r="184" spans="33:33" x14ac:dyDescent="0.2">
      <c r="AG184" s="107"/>
    </row>
    <row r="185" spans="33:33" x14ac:dyDescent="0.2">
      <c r="AG185" s="107"/>
    </row>
    <row r="186" spans="33:33" x14ac:dyDescent="0.2">
      <c r="AG186" s="107"/>
    </row>
    <row r="187" spans="33:33" x14ac:dyDescent="0.2">
      <c r="AG187" s="107"/>
    </row>
    <row r="188" spans="33:33" x14ac:dyDescent="0.2">
      <c r="AG188" s="107"/>
    </row>
    <row r="189" spans="33:33" x14ac:dyDescent="0.2">
      <c r="AG189" s="107"/>
    </row>
    <row r="190" spans="33:33" x14ac:dyDescent="0.2">
      <c r="AG190" s="107"/>
    </row>
    <row r="191" spans="33:33" x14ac:dyDescent="0.2">
      <c r="AG191" s="107"/>
    </row>
    <row r="192" spans="33:33" x14ac:dyDescent="0.2">
      <c r="AG192" s="107"/>
    </row>
    <row r="193" spans="33:33" x14ac:dyDescent="0.2">
      <c r="AG193" s="107"/>
    </row>
    <row r="194" spans="33:33" x14ac:dyDescent="0.2">
      <c r="AG194" s="107"/>
    </row>
    <row r="195" spans="33:33" x14ac:dyDescent="0.2">
      <c r="AG195" s="107"/>
    </row>
    <row r="196" spans="33:33" x14ac:dyDescent="0.2">
      <c r="AG196" s="107"/>
    </row>
    <row r="197" spans="33:33" x14ac:dyDescent="0.2">
      <c r="AG197" s="107"/>
    </row>
    <row r="198" spans="33:33" x14ac:dyDescent="0.2">
      <c r="AG198" s="107"/>
    </row>
    <row r="199" spans="33:33" x14ac:dyDescent="0.2">
      <c r="AG199" s="107"/>
    </row>
    <row r="200" spans="33:33" x14ac:dyDescent="0.2">
      <c r="AG200" s="107"/>
    </row>
    <row r="201" spans="33:33" x14ac:dyDescent="0.2">
      <c r="AG201" s="107"/>
    </row>
    <row r="202" spans="33:33" x14ac:dyDescent="0.2">
      <c r="AG202" s="107"/>
    </row>
    <row r="203" spans="33:33" x14ac:dyDescent="0.2">
      <c r="AG203" s="107"/>
    </row>
    <row r="204" spans="33:33" x14ac:dyDescent="0.2">
      <c r="AG204" s="107"/>
    </row>
    <row r="205" spans="33:33" x14ac:dyDescent="0.2">
      <c r="AG205" s="107"/>
    </row>
    <row r="206" spans="33:33" x14ac:dyDescent="0.2">
      <c r="AG206" s="107"/>
    </row>
    <row r="207" spans="33:33" x14ac:dyDescent="0.2">
      <c r="AG207" s="107"/>
    </row>
    <row r="208" spans="33:33" x14ac:dyDescent="0.2">
      <c r="AG208" s="107"/>
    </row>
    <row r="209" spans="33:33" x14ac:dyDescent="0.2">
      <c r="AG209" s="107"/>
    </row>
    <row r="210" spans="33:33" x14ac:dyDescent="0.2">
      <c r="AG210" s="107"/>
    </row>
    <row r="211" spans="33:33" x14ac:dyDescent="0.2">
      <c r="AG211" s="107"/>
    </row>
    <row r="212" spans="33:33" x14ac:dyDescent="0.2">
      <c r="AG212" s="107"/>
    </row>
    <row r="213" spans="33:33" x14ac:dyDescent="0.2">
      <c r="AG213" s="107"/>
    </row>
    <row r="214" spans="33:33" x14ac:dyDescent="0.2">
      <c r="AG214" s="107"/>
    </row>
    <row r="215" spans="33:33" x14ac:dyDescent="0.2">
      <c r="AG215" s="107"/>
    </row>
    <row r="216" spans="33:33" x14ac:dyDescent="0.2">
      <c r="AG216" s="107"/>
    </row>
    <row r="217" spans="33:33" x14ac:dyDescent="0.2">
      <c r="AG217" s="107"/>
    </row>
    <row r="218" spans="33:33" x14ac:dyDescent="0.2">
      <c r="AG218" s="107"/>
    </row>
    <row r="219" spans="33:33" x14ac:dyDescent="0.2">
      <c r="AG219" s="107"/>
    </row>
    <row r="220" spans="33:33" x14ac:dyDescent="0.2">
      <c r="AG220" s="107"/>
    </row>
    <row r="221" spans="33:33" x14ac:dyDescent="0.2">
      <c r="AG221" s="107"/>
    </row>
    <row r="222" spans="33:33" x14ac:dyDescent="0.2">
      <c r="AG222" s="107"/>
    </row>
    <row r="223" spans="33:33" x14ac:dyDescent="0.2">
      <c r="AG223" s="107"/>
    </row>
    <row r="224" spans="33:33" x14ac:dyDescent="0.2">
      <c r="AG224" s="107"/>
    </row>
    <row r="225" spans="33:33" x14ac:dyDescent="0.2">
      <c r="AG225" s="107"/>
    </row>
    <row r="226" spans="33:33" x14ac:dyDescent="0.2">
      <c r="AG226" s="107"/>
    </row>
    <row r="227" spans="33:33" x14ac:dyDescent="0.2">
      <c r="AG227" s="107"/>
    </row>
    <row r="228" spans="33:33" x14ac:dyDescent="0.2">
      <c r="AG228" s="107"/>
    </row>
    <row r="229" spans="33:33" x14ac:dyDescent="0.2">
      <c r="AG229" s="107"/>
    </row>
    <row r="230" spans="33:33" x14ac:dyDescent="0.2">
      <c r="AG230" s="107"/>
    </row>
    <row r="231" spans="33:33" x14ac:dyDescent="0.2">
      <c r="AG231" s="107"/>
    </row>
    <row r="232" spans="33:33" x14ac:dyDescent="0.2">
      <c r="AG232" s="107"/>
    </row>
    <row r="233" spans="33:33" x14ac:dyDescent="0.2">
      <c r="AG233" s="107"/>
    </row>
    <row r="234" spans="33:33" x14ac:dyDescent="0.2">
      <c r="AG234" s="107"/>
    </row>
    <row r="235" spans="33:33" x14ac:dyDescent="0.2">
      <c r="AG235" s="107"/>
    </row>
    <row r="236" spans="33:33" x14ac:dyDescent="0.2">
      <c r="AG236" s="107"/>
    </row>
    <row r="237" spans="33:33" x14ac:dyDescent="0.2">
      <c r="AG237" s="107"/>
    </row>
    <row r="238" spans="33:33" x14ac:dyDescent="0.2">
      <c r="AG238" s="107"/>
    </row>
    <row r="239" spans="33:33" x14ac:dyDescent="0.2">
      <c r="AG239" s="107"/>
    </row>
    <row r="240" spans="33:33" x14ac:dyDescent="0.2">
      <c r="AG240" s="107"/>
    </row>
    <row r="241" spans="33:33" x14ac:dyDescent="0.2">
      <c r="AG241" s="107"/>
    </row>
    <row r="242" spans="33:33" x14ac:dyDescent="0.2">
      <c r="AG242" s="107"/>
    </row>
    <row r="243" spans="33:33" x14ac:dyDescent="0.2">
      <c r="AG243" s="107"/>
    </row>
    <row r="244" spans="33:33" x14ac:dyDescent="0.2">
      <c r="AG244" s="107"/>
    </row>
    <row r="245" spans="33:33" x14ac:dyDescent="0.2">
      <c r="AG245" s="107"/>
    </row>
    <row r="246" spans="33:33" x14ac:dyDescent="0.2">
      <c r="AG246" s="107"/>
    </row>
    <row r="247" spans="33:33" x14ac:dyDescent="0.2">
      <c r="AG247" s="107"/>
    </row>
    <row r="248" spans="33:33" x14ac:dyDescent="0.2">
      <c r="AG248" s="107"/>
    </row>
    <row r="249" spans="33:33" x14ac:dyDescent="0.2">
      <c r="AG249" s="107"/>
    </row>
    <row r="250" spans="33:33" x14ac:dyDescent="0.2">
      <c r="AG250" s="107"/>
    </row>
    <row r="251" spans="33:33" x14ac:dyDescent="0.2">
      <c r="AG251" s="107"/>
    </row>
    <row r="252" spans="33:33" x14ac:dyDescent="0.2">
      <c r="AG252" s="107"/>
    </row>
    <row r="253" spans="33:33" x14ac:dyDescent="0.2">
      <c r="AG253" s="107"/>
    </row>
    <row r="254" spans="33:33" x14ac:dyDescent="0.2">
      <c r="AG254" s="107"/>
    </row>
    <row r="255" spans="33:33" x14ac:dyDescent="0.2">
      <c r="AG255" s="107"/>
    </row>
    <row r="256" spans="33:33" x14ac:dyDescent="0.2">
      <c r="AG256" s="107"/>
    </row>
    <row r="257" spans="33:33" x14ac:dyDescent="0.2">
      <c r="AG257" s="107"/>
    </row>
    <row r="258" spans="33:33" x14ac:dyDescent="0.2">
      <c r="AG258" s="107"/>
    </row>
    <row r="259" spans="33:33" x14ac:dyDescent="0.2">
      <c r="AG259" s="107"/>
    </row>
    <row r="260" spans="33:33" x14ac:dyDescent="0.2">
      <c r="AG260" s="107"/>
    </row>
    <row r="261" spans="33:33" x14ac:dyDescent="0.2">
      <c r="AG261" s="107"/>
    </row>
    <row r="262" spans="33:33" x14ac:dyDescent="0.2">
      <c r="AG262" s="107"/>
    </row>
    <row r="263" spans="33:33" x14ac:dyDescent="0.2">
      <c r="AG263" s="107"/>
    </row>
    <row r="264" spans="33:33" x14ac:dyDescent="0.2">
      <c r="AG264" s="107"/>
    </row>
    <row r="265" spans="33:33" x14ac:dyDescent="0.2">
      <c r="AG265" s="107"/>
    </row>
    <row r="266" spans="33:33" x14ac:dyDescent="0.2">
      <c r="AG266" s="107"/>
    </row>
    <row r="267" spans="33:33" x14ac:dyDescent="0.2">
      <c r="AG267" s="107"/>
    </row>
    <row r="268" spans="33:33" x14ac:dyDescent="0.2">
      <c r="AG268" s="107"/>
    </row>
    <row r="269" spans="33:33" x14ac:dyDescent="0.2">
      <c r="AG269" s="107"/>
    </row>
    <row r="270" spans="33:33" x14ac:dyDescent="0.2">
      <c r="AG270" s="107"/>
    </row>
    <row r="271" spans="33:33" x14ac:dyDescent="0.2">
      <c r="AG271" s="107"/>
    </row>
    <row r="272" spans="33:33" x14ac:dyDescent="0.2">
      <c r="AG272" s="107"/>
    </row>
    <row r="273" spans="33:33" x14ac:dyDescent="0.2">
      <c r="AG273" s="107"/>
    </row>
    <row r="274" spans="33:33" x14ac:dyDescent="0.2">
      <c r="AG274" s="107"/>
    </row>
    <row r="275" spans="33:33" x14ac:dyDescent="0.2">
      <c r="AG275" s="107"/>
    </row>
    <row r="276" spans="33:33" x14ac:dyDescent="0.2">
      <c r="AG276" s="107"/>
    </row>
    <row r="277" spans="33:33" x14ac:dyDescent="0.2">
      <c r="AG277" s="107"/>
    </row>
    <row r="278" spans="33:33" x14ac:dyDescent="0.2">
      <c r="AG278" s="107"/>
    </row>
    <row r="279" spans="33:33" x14ac:dyDescent="0.2">
      <c r="AG279" s="107"/>
    </row>
    <row r="280" spans="33:33" x14ac:dyDescent="0.2">
      <c r="AG280" s="107"/>
    </row>
    <row r="281" spans="33:33" x14ac:dyDescent="0.2">
      <c r="AG281" s="107"/>
    </row>
    <row r="282" spans="33:33" x14ac:dyDescent="0.2">
      <c r="AG282" s="107"/>
    </row>
    <row r="283" spans="33:33" x14ac:dyDescent="0.2">
      <c r="AG283" s="107"/>
    </row>
    <row r="284" spans="33:33" x14ac:dyDescent="0.2">
      <c r="AG284" s="107"/>
    </row>
    <row r="285" spans="33:33" x14ac:dyDescent="0.2">
      <c r="AG285" s="107"/>
    </row>
    <row r="286" spans="33:33" x14ac:dyDescent="0.2">
      <c r="AG286" s="107"/>
    </row>
    <row r="287" spans="33:33" x14ac:dyDescent="0.2">
      <c r="AG287" s="107"/>
    </row>
    <row r="288" spans="33:33" x14ac:dyDescent="0.2">
      <c r="AG288" s="107"/>
    </row>
    <row r="289" spans="33:33" x14ac:dyDescent="0.2">
      <c r="AG289" s="107"/>
    </row>
    <row r="290" spans="33:33" x14ac:dyDescent="0.2">
      <c r="AG290" s="107"/>
    </row>
    <row r="291" spans="33:33" x14ac:dyDescent="0.2">
      <c r="AG291" s="107"/>
    </row>
    <row r="292" spans="33:33" x14ac:dyDescent="0.2">
      <c r="AG292" s="107"/>
    </row>
    <row r="293" spans="33:33" x14ac:dyDescent="0.2">
      <c r="AG293" s="107"/>
    </row>
    <row r="294" spans="33:33" x14ac:dyDescent="0.2">
      <c r="AG294" s="107"/>
    </row>
    <row r="295" spans="33:33" x14ac:dyDescent="0.2">
      <c r="AG295" s="107"/>
    </row>
    <row r="296" spans="33:33" x14ac:dyDescent="0.2">
      <c r="AG296" s="107"/>
    </row>
    <row r="297" spans="33:33" x14ac:dyDescent="0.2">
      <c r="AG297" s="107"/>
    </row>
    <row r="298" spans="33:33" x14ac:dyDescent="0.2">
      <c r="AG298" s="107"/>
    </row>
    <row r="299" spans="33:33" x14ac:dyDescent="0.2">
      <c r="AG299" s="107"/>
    </row>
    <row r="300" spans="33:33" x14ac:dyDescent="0.2">
      <c r="AG300" s="107"/>
    </row>
    <row r="301" spans="33:33" x14ac:dyDescent="0.2">
      <c r="AG301" s="107"/>
    </row>
    <row r="302" spans="33:33" x14ac:dyDescent="0.2">
      <c r="AG302" s="107"/>
    </row>
    <row r="303" spans="33:33" x14ac:dyDescent="0.2">
      <c r="AG303" s="107"/>
    </row>
    <row r="304" spans="33:33" x14ac:dyDescent="0.2">
      <c r="AG304" s="107"/>
    </row>
    <row r="305" spans="33:33" x14ac:dyDescent="0.2">
      <c r="AG305" s="107"/>
    </row>
    <row r="306" spans="33:33" x14ac:dyDescent="0.2">
      <c r="AG306" s="107"/>
    </row>
    <row r="307" spans="33:33" x14ac:dyDescent="0.2">
      <c r="AG307" s="107"/>
    </row>
    <row r="308" spans="33:33" x14ac:dyDescent="0.2">
      <c r="AG308" s="107"/>
    </row>
    <row r="309" spans="33:33" x14ac:dyDescent="0.2">
      <c r="AG309" s="107"/>
    </row>
    <row r="310" spans="33:33" x14ac:dyDescent="0.2">
      <c r="AG310" s="107"/>
    </row>
    <row r="311" spans="33:33" x14ac:dyDescent="0.2">
      <c r="AG311" s="107"/>
    </row>
    <row r="312" spans="33:33" x14ac:dyDescent="0.2">
      <c r="AG312" s="107"/>
    </row>
    <row r="313" spans="33:33" x14ac:dyDescent="0.2">
      <c r="AG313" s="107"/>
    </row>
    <row r="314" spans="33:33" x14ac:dyDescent="0.2">
      <c r="AG314" s="107"/>
    </row>
    <row r="315" spans="33:33" x14ac:dyDescent="0.2">
      <c r="AG315" s="107"/>
    </row>
    <row r="316" spans="33:33" x14ac:dyDescent="0.2">
      <c r="AG316" s="107"/>
    </row>
    <row r="317" spans="33:33" x14ac:dyDescent="0.2">
      <c r="AG317" s="107"/>
    </row>
    <row r="318" spans="33:33" x14ac:dyDescent="0.2">
      <c r="AG318" s="107"/>
    </row>
    <row r="319" spans="33:33" x14ac:dyDescent="0.2">
      <c r="AG319" s="107"/>
    </row>
    <row r="320" spans="33:33" x14ac:dyDescent="0.2">
      <c r="AG320" s="107"/>
    </row>
    <row r="321" spans="33:33" x14ac:dyDescent="0.2">
      <c r="AG321" s="107"/>
    </row>
    <row r="322" spans="33:33" x14ac:dyDescent="0.2">
      <c r="AG322" s="107"/>
    </row>
    <row r="323" spans="33:33" x14ac:dyDescent="0.2">
      <c r="AG323" s="107"/>
    </row>
    <row r="324" spans="33:33" x14ac:dyDescent="0.2">
      <c r="AG324" s="107"/>
    </row>
    <row r="325" spans="33:33" x14ac:dyDescent="0.2">
      <c r="AG325" s="107"/>
    </row>
    <row r="326" spans="33:33" x14ac:dyDescent="0.2">
      <c r="AG326" s="107"/>
    </row>
    <row r="327" spans="33:33" x14ac:dyDescent="0.2">
      <c r="AG327" s="107"/>
    </row>
    <row r="328" spans="33:33" x14ac:dyDescent="0.2">
      <c r="AG328" s="107"/>
    </row>
    <row r="329" spans="33:33" x14ac:dyDescent="0.2">
      <c r="AG329" s="107"/>
    </row>
    <row r="330" spans="33:33" x14ac:dyDescent="0.2">
      <c r="AG330" s="107"/>
    </row>
    <row r="331" spans="33:33" x14ac:dyDescent="0.2">
      <c r="AG331" s="107"/>
    </row>
    <row r="332" spans="33:33" x14ac:dyDescent="0.2">
      <c r="AG332" s="107"/>
    </row>
    <row r="333" spans="33:33" x14ac:dyDescent="0.2">
      <c r="AG333" s="107"/>
    </row>
    <row r="334" spans="33:33" x14ac:dyDescent="0.2">
      <c r="AG334" s="107"/>
    </row>
    <row r="335" spans="33:33" x14ac:dyDescent="0.2">
      <c r="AG335" s="107"/>
    </row>
    <row r="336" spans="33:33" x14ac:dyDescent="0.2">
      <c r="AG336" s="107"/>
    </row>
    <row r="337" spans="33:33" x14ac:dyDescent="0.2">
      <c r="AG337" s="107"/>
    </row>
    <row r="338" spans="33:33" x14ac:dyDescent="0.2">
      <c r="AG338" s="107"/>
    </row>
    <row r="339" spans="33:33" x14ac:dyDescent="0.2">
      <c r="AG339" s="107"/>
    </row>
    <row r="340" spans="33:33" x14ac:dyDescent="0.2">
      <c r="AG340" s="107"/>
    </row>
    <row r="341" spans="33:33" x14ac:dyDescent="0.2">
      <c r="AG341" s="107"/>
    </row>
    <row r="342" spans="33:33" x14ac:dyDescent="0.2">
      <c r="AG342" s="107"/>
    </row>
    <row r="343" spans="33:33" x14ac:dyDescent="0.2">
      <c r="AG343" s="107"/>
    </row>
    <row r="344" spans="33:33" x14ac:dyDescent="0.2">
      <c r="AG344" s="107"/>
    </row>
    <row r="345" spans="33:33" x14ac:dyDescent="0.2">
      <c r="AG345" s="107"/>
    </row>
    <row r="346" spans="33:33" x14ac:dyDescent="0.2">
      <c r="AG346" s="107"/>
    </row>
    <row r="347" spans="33:33" x14ac:dyDescent="0.2">
      <c r="AG347" s="107"/>
    </row>
    <row r="348" spans="33:33" x14ac:dyDescent="0.2">
      <c r="AG348" s="107"/>
    </row>
    <row r="349" spans="33:33" x14ac:dyDescent="0.2">
      <c r="AG349" s="107"/>
    </row>
    <row r="350" spans="33:33" x14ac:dyDescent="0.2">
      <c r="AG350" s="107"/>
    </row>
    <row r="351" spans="33:33" x14ac:dyDescent="0.2">
      <c r="AG351" s="107"/>
    </row>
    <row r="352" spans="33:33" x14ac:dyDescent="0.2">
      <c r="AG352" s="107"/>
    </row>
    <row r="353" spans="33:33" x14ac:dyDescent="0.2">
      <c r="AG353" s="107"/>
    </row>
    <row r="354" spans="33:33" x14ac:dyDescent="0.2">
      <c r="AG354" s="107"/>
    </row>
    <row r="355" spans="33:33" x14ac:dyDescent="0.2">
      <c r="AG355" s="107"/>
    </row>
    <row r="356" spans="33:33" x14ac:dyDescent="0.2">
      <c r="AG356" s="107"/>
    </row>
    <row r="357" spans="33:33" x14ac:dyDescent="0.2">
      <c r="AG357" s="107"/>
    </row>
    <row r="358" spans="33:33" x14ac:dyDescent="0.2">
      <c r="AG358" s="107"/>
    </row>
    <row r="359" spans="33:33" x14ac:dyDescent="0.2">
      <c r="AG359" s="107"/>
    </row>
    <row r="360" spans="33:33" x14ac:dyDescent="0.2">
      <c r="AG360" s="107"/>
    </row>
    <row r="361" spans="33:33" x14ac:dyDescent="0.2">
      <c r="AG361" s="107"/>
    </row>
    <row r="362" spans="33:33" x14ac:dyDescent="0.2">
      <c r="AG362" s="107"/>
    </row>
    <row r="363" spans="33:33" x14ac:dyDescent="0.2">
      <c r="AG363" s="107"/>
    </row>
    <row r="364" spans="33:33" x14ac:dyDescent="0.2">
      <c r="AG364" s="107"/>
    </row>
    <row r="365" spans="33:33" x14ac:dyDescent="0.2">
      <c r="AG365" s="107"/>
    </row>
    <row r="366" spans="33:33" x14ac:dyDescent="0.2">
      <c r="AG366" s="107"/>
    </row>
    <row r="367" spans="33:33" x14ac:dyDescent="0.2">
      <c r="AG367" s="107"/>
    </row>
    <row r="368" spans="33:33" x14ac:dyDescent="0.2">
      <c r="AG368" s="107"/>
    </row>
    <row r="369" spans="33:33" x14ac:dyDescent="0.2">
      <c r="AG369" s="107"/>
    </row>
    <row r="370" spans="33:33" x14ac:dyDescent="0.2">
      <c r="AG370" s="107"/>
    </row>
    <row r="371" spans="33:33" x14ac:dyDescent="0.2">
      <c r="AG371" s="107"/>
    </row>
    <row r="372" spans="33:33" x14ac:dyDescent="0.2">
      <c r="AG372" s="107"/>
    </row>
    <row r="373" spans="33:33" x14ac:dyDescent="0.2">
      <c r="AG373" s="107"/>
    </row>
    <row r="374" spans="33:33" x14ac:dyDescent="0.2">
      <c r="AG374" s="107"/>
    </row>
    <row r="375" spans="33:33" x14ac:dyDescent="0.2">
      <c r="AG375" s="107"/>
    </row>
    <row r="376" spans="33:33" x14ac:dyDescent="0.2">
      <c r="AG376" s="107"/>
    </row>
    <row r="377" spans="33:33" x14ac:dyDescent="0.2">
      <c r="AG377" s="107"/>
    </row>
    <row r="378" spans="33:33" x14ac:dyDescent="0.2">
      <c r="AG378" s="107"/>
    </row>
    <row r="379" spans="33:33" x14ac:dyDescent="0.2">
      <c r="AG379" s="107"/>
    </row>
    <row r="380" spans="33:33" x14ac:dyDescent="0.2">
      <c r="AG380" s="107"/>
    </row>
    <row r="381" spans="33:33" x14ac:dyDescent="0.2">
      <c r="AG381" s="107"/>
    </row>
    <row r="382" spans="33:33" x14ac:dyDescent="0.2">
      <c r="AG382" s="107"/>
    </row>
    <row r="383" spans="33:33" x14ac:dyDescent="0.2">
      <c r="AG383" s="107"/>
    </row>
    <row r="384" spans="33:33" x14ac:dyDescent="0.2">
      <c r="AG384" s="107"/>
    </row>
    <row r="385" spans="33:33" x14ac:dyDescent="0.2">
      <c r="AG385" s="107"/>
    </row>
    <row r="386" spans="33:33" x14ac:dyDescent="0.2">
      <c r="AG386" s="107"/>
    </row>
    <row r="387" spans="33:33" x14ac:dyDescent="0.2">
      <c r="AG387" s="107"/>
    </row>
    <row r="388" spans="33:33" x14ac:dyDescent="0.2">
      <c r="AG388" s="107"/>
    </row>
    <row r="389" spans="33:33" x14ac:dyDescent="0.2">
      <c r="AG389" s="107"/>
    </row>
    <row r="390" spans="33:33" x14ac:dyDescent="0.2">
      <c r="AG390" s="107"/>
    </row>
    <row r="391" spans="33:33" x14ac:dyDescent="0.2">
      <c r="AG391" s="107"/>
    </row>
    <row r="392" spans="33:33" x14ac:dyDescent="0.2">
      <c r="AG392" s="107"/>
    </row>
    <row r="393" spans="33:33" x14ac:dyDescent="0.2">
      <c r="AG393" s="107"/>
    </row>
    <row r="394" spans="33:33" x14ac:dyDescent="0.2">
      <c r="AG394" s="107"/>
    </row>
    <row r="395" spans="33:33" x14ac:dyDescent="0.2">
      <c r="AG395" s="107"/>
    </row>
    <row r="396" spans="33:33" x14ac:dyDescent="0.2">
      <c r="AG396" s="107"/>
    </row>
    <row r="397" spans="33:33" x14ac:dyDescent="0.2">
      <c r="AG397" s="107"/>
    </row>
    <row r="398" spans="33:33" x14ac:dyDescent="0.2">
      <c r="AG398" s="107"/>
    </row>
    <row r="399" spans="33:33" x14ac:dyDescent="0.2">
      <c r="AG399" s="107"/>
    </row>
    <row r="400" spans="33:33" x14ac:dyDescent="0.2">
      <c r="AG400" s="107"/>
    </row>
    <row r="401" spans="33:33" x14ac:dyDescent="0.2">
      <c r="AG401" s="107"/>
    </row>
    <row r="402" spans="33:33" x14ac:dyDescent="0.2">
      <c r="AG402" s="107"/>
    </row>
    <row r="403" spans="33:33" x14ac:dyDescent="0.2">
      <c r="AG403" s="107"/>
    </row>
    <row r="404" spans="33:33" x14ac:dyDescent="0.2">
      <c r="AG404" s="107"/>
    </row>
    <row r="405" spans="33:33" x14ac:dyDescent="0.2">
      <c r="AG405" s="107"/>
    </row>
    <row r="406" spans="33:33" x14ac:dyDescent="0.2">
      <c r="AG406" s="107"/>
    </row>
    <row r="407" spans="33:33" x14ac:dyDescent="0.2">
      <c r="AG407" s="107"/>
    </row>
    <row r="408" spans="33:33" x14ac:dyDescent="0.2">
      <c r="AG408" s="107"/>
    </row>
    <row r="409" spans="33:33" x14ac:dyDescent="0.2">
      <c r="AG409" s="107"/>
    </row>
    <row r="410" spans="33:33" x14ac:dyDescent="0.2">
      <c r="AG410" s="107"/>
    </row>
    <row r="411" spans="33:33" x14ac:dyDescent="0.2">
      <c r="AG411" s="107"/>
    </row>
    <row r="412" spans="33:33" x14ac:dyDescent="0.2">
      <c r="AG412" s="107"/>
    </row>
    <row r="413" spans="33:33" x14ac:dyDescent="0.2">
      <c r="AG413" s="107"/>
    </row>
    <row r="414" spans="33:33" x14ac:dyDescent="0.2">
      <c r="AG414" s="107"/>
    </row>
    <row r="415" spans="33:33" x14ac:dyDescent="0.2">
      <c r="AG415" s="107"/>
    </row>
    <row r="416" spans="33:33" x14ac:dyDescent="0.2">
      <c r="AG416" s="107"/>
    </row>
    <row r="417" spans="33:33" x14ac:dyDescent="0.2">
      <c r="AG417" s="107"/>
    </row>
    <row r="418" spans="33:33" x14ac:dyDescent="0.2">
      <c r="AG418" s="107"/>
    </row>
    <row r="419" spans="33:33" x14ac:dyDescent="0.2">
      <c r="AG419" s="107"/>
    </row>
    <row r="420" spans="33:33" x14ac:dyDescent="0.2">
      <c r="AG420" s="107"/>
    </row>
    <row r="421" spans="33:33" x14ac:dyDescent="0.2">
      <c r="AG421" s="107"/>
    </row>
    <row r="422" spans="33:33" x14ac:dyDescent="0.2">
      <c r="AG422" s="107"/>
    </row>
    <row r="423" spans="33:33" x14ac:dyDescent="0.2">
      <c r="AG423" s="107"/>
    </row>
    <row r="424" spans="33:33" x14ac:dyDescent="0.2">
      <c r="AG424" s="107"/>
    </row>
    <row r="425" spans="33:33" x14ac:dyDescent="0.2">
      <c r="AG425" s="107"/>
    </row>
    <row r="426" spans="33:33" x14ac:dyDescent="0.2">
      <c r="AG426" s="107"/>
    </row>
    <row r="427" spans="33:33" x14ac:dyDescent="0.2">
      <c r="AG427" s="107"/>
    </row>
    <row r="428" spans="33:33" x14ac:dyDescent="0.2">
      <c r="AG428" s="107"/>
    </row>
    <row r="429" spans="33:33" x14ac:dyDescent="0.2">
      <c r="AG429" s="107"/>
    </row>
    <row r="430" spans="33:33" x14ac:dyDescent="0.2">
      <c r="AG430" s="107"/>
    </row>
    <row r="431" spans="33:33" x14ac:dyDescent="0.2">
      <c r="AG431" s="107"/>
    </row>
    <row r="432" spans="33:33" x14ac:dyDescent="0.2">
      <c r="AG432" s="107"/>
    </row>
    <row r="433" spans="33:33" x14ac:dyDescent="0.2">
      <c r="AG433" s="107"/>
    </row>
    <row r="434" spans="33:33" x14ac:dyDescent="0.2">
      <c r="AG434" s="107"/>
    </row>
    <row r="435" spans="33:33" x14ac:dyDescent="0.2">
      <c r="AG435" s="107"/>
    </row>
    <row r="436" spans="33:33" x14ac:dyDescent="0.2">
      <c r="AG436" s="107"/>
    </row>
    <row r="437" spans="33:33" x14ac:dyDescent="0.2">
      <c r="AG437" s="107"/>
    </row>
    <row r="438" spans="33:33" x14ac:dyDescent="0.2">
      <c r="AG438" s="107"/>
    </row>
    <row r="439" spans="33:33" x14ac:dyDescent="0.2">
      <c r="AG439" s="107"/>
    </row>
    <row r="440" spans="33:33" x14ac:dyDescent="0.2">
      <c r="AG440" s="107"/>
    </row>
    <row r="441" spans="33:33" x14ac:dyDescent="0.2">
      <c r="AG441" s="107"/>
    </row>
    <row r="442" spans="33:33" x14ac:dyDescent="0.2">
      <c r="AG442" s="107"/>
    </row>
    <row r="443" spans="33:33" x14ac:dyDescent="0.2">
      <c r="AG443" s="107"/>
    </row>
    <row r="444" spans="33:33" x14ac:dyDescent="0.2">
      <c r="AG444" s="107"/>
    </row>
    <row r="445" spans="33:33" x14ac:dyDescent="0.2">
      <c r="AG445" s="107"/>
    </row>
    <row r="446" spans="33:33" x14ac:dyDescent="0.2">
      <c r="AG446" s="107"/>
    </row>
    <row r="447" spans="33:33" x14ac:dyDescent="0.2">
      <c r="AG447" s="107"/>
    </row>
    <row r="448" spans="33:33" x14ac:dyDescent="0.2">
      <c r="AG448" s="107"/>
    </row>
    <row r="449" spans="33:33" x14ac:dyDescent="0.2">
      <c r="AG449" s="107"/>
    </row>
    <row r="450" spans="33:33" x14ac:dyDescent="0.2">
      <c r="AG450" s="107"/>
    </row>
    <row r="451" spans="33:33" x14ac:dyDescent="0.2">
      <c r="AG451" s="107"/>
    </row>
    <row r="452" spans="33:33" x14ac:dyDescent="0.2">
      <c r="AG452" s="107"/>
    </row>
    <row r="453" spans="33:33" x14ac:dyDescent="0.2">
      <c r="AG453" s="107"/>
    </row>
    <row r="454" spans="33:33" x14ac:dyDescent="0.2">
      <c r="AG454" s="107"/>
    </row>
    <row r="455" spans="33:33" x14ac:dyDescent="0.2">
      <c r="AG455" s="107"/>
    </row>
    <row r="456" spans="33:33" x14ac:dyDescent="0.2">
      <c r="AG456" s="107"/>
    </row>
    <row r="457" spans="33:33" x14ac:dyDescent="0.2">
      <c r="AG457" s="107"/>
    </row>
    <row r="458" spans="33:33" x14ac:dyDescent="0.2">
      <c r="AG458" s="107"/>
    </row>
    <row r="459" spans="33:33" x14ac:dyDescent="0.2">
      <c r="AG459" s="107"/>
    </row>
    <row r="460" spans="33:33" x14ac:dyDescent="0.2">
      <c r="AG460" s="107"/>
    </row>
    <row r="461" spans="33:33" x14ac:dyDescent="0.2">
      <c r="AG461" s="107"/>
    </row>
    <row r="462" spans="33:33" x14ac:dyDescent="0.2">
      <c r="AG462" s="107"/>
    </row>
    <row r="463" spans="33:33" x14ac:dyDescent="0.2">
      <c r="AG463" s="107"/>
    </row>
    <row r="464" spans="33:33" x14ac:dyDescent="0.2">
      <c r="AG464" s="107"/>
    </row>
    <row r="465" spans="33:33" x14ac:dyDescent="0.2">
      <c r="AG465" s="107"/>
    </row>
    <row r="466" spans="33:33" x14ac:dyDescent="0.2">
      <c r="AG466" s="107"/>
    </row>
    <row r="467" spans="33:33" x14ac:dyDescent="0.2">
      <c r="AG467" s="107"/>
    </row>
    <row r="468" spans="33:33" x14ac:dyDescent="0.2">
      <c r="AG468" s="107"/>
    </row>
    <row r="469" spans="33:33" x14ac:dyDescent="0.2">
      <c r="AG469" s="107"/>
    </row>
    <row r="470" spans="33:33" x14ac:dyDescent="0.2">
      <c r="AG470" s="107"/>
    </row>
    <row r="471" spans="33:33" x14ac:dyDescent="0.2">
      <c r="AG471" s="107"/>
    </row>
    <row r="472" spans="33:33" x14ac:dyDescent="0.2">
      <c r="AG472" s="107"/>
    </row>
    <row r="473" spans="33:33" x14ac:dyDescent="0.2">
      <c r="AG473" s="107"/>
    </row>
    <row r="474" spans="33:33" x14ac:dyDescent="0.2">
      <c r="AG474" s="107"/>
    </row>
    <row r="475" spans="33:33" x14ac:dyDescent="0.2">
      <c r="AG475" s="107"/>
    </row>
    <row r="476" spans="33:33" x14ac:dyDescent="0.2">
      <c r="AG476" s="107"/>
    </row>
    <row r="477" spans="33:33" x14ac:dyDescent="0.2">
      <c r="AG477" s="107"/>
    </row>
    <row r="478" spans="33:33" x14ac:dyDescent="0.2">
      <c r="AG478" s="107"/>
    </row>
    <row r="479" spans="33:33" x14ac:dyDescent="0.2">
      <c r="AG479" s="107"/>
    </row>
    <row r="480" spans="33:33" x14ac:dyDescent="0.2">
      <c r="AG480" s="107"/>
    </row>
    <row r="481" spans="33:33" x14ac:dyDescent="0.2">
      <c r="AG481" s="107"/>
    </row>
    <row r="482" spans="33:33" x14ac:dyDescent="0.2">
      <c r="AG482" s="107"/>
    </row>
    <row r="483" spans="33:33" x14ac:dyDescent="0.2">
      <c r="AG483" s="107"/>
    </row>
    <row r="484" spans="33:33" x14ac:dyDescent="0.2">
      <c r="AG484" s="107"/>
    </row>
    <row r="485" spans="33:33" x14ac:dyDescent="0.2">
      <c r="AG485" s="107"/>
    </row>
    <row r="486" spans="33:33" x14ac:dyDescent="0.2">
      <c r="AG486" s="107"/>
    </row>
    <row r="487" spans="33:33" x14ac:dyDescent="0.2">
      <c r="AG487" s="107"/>
    </row>
    <row r="488" spans="33:33" x14ac:dyDescent="0.2">
      <c r="AG488" s="107"/>
    </row>
    <row r="489" spans="33:33" x14ac:dyDescent="0.2">
      <c r="AG489" s="107"/>
    </row>
    <row r="490" spans="33:33" x14ac:dyDescent="0.2">
      <c r="AG490" s="107"/>
    </row>
    <row r="491" spans="33:33" x14ac:dyDescent="0.2">
      <c r="AG491" s="107"/>
    </row>
    <row r="492" spans="33:33" x14ac:dyDescent="0.2">
      <c r="AG492" s="107"/>
    </row>
    <row r="493" spans="33:33" x14ac:dyDescent="0.2">
      <c r="AG493" s="107"/>
    </row>
    <row r="494" spans="33:33" x14ac:dyDescent="0.2">
      <c r="AG494" s="107"/>
    </row>
    <row r="495" spans="33:33" x14ac:dyDescent="0.2">
      <c r="AG495" s="107"/>
    </row>
    <row r="496" spans="33:33" x14ac:dyDescent="0.2">
      <c r="AG496" s="107"/>
    </row>
    <row r="497" spans="33:33" x14ac:dyDescent="0.2">
      <c r="AG497" s="107"/>
    </row>
    <row r="498" spans="33:33" x14ac:dyDescent="0.2">
      <c r="AG498" s="107"/>
    </row>
    <row r="499" spans="33:33" x14ac:dyDescent="0.2">
      <c r="AG499" s="107"/>
    </row>
    <row r="500" spans="33:33" x14ac:dyDescent="0.2">
      <c r="AG500" s="107"/>
    </row>
    <row r="501" spans="33:33" x14ac:dyDescent="0.2">
      <c r="AG501" s="107"/>
    </row>
    <row r="502" spans="33:33" x14ac:dyDescent="0.2">
      <c r="AG502" s="107"/>
    </row>
    <row r="503" spans="33:33" x14ac:dyDescent="0.2">
      <c r="AG503" s="107"/>
    </row>
    <row r="504" spans="33:33" x14ac:dyDescent="0.2">
      <c r="AG504" s="107"/>
    </row>
    <row r="505" spans="33:33" x14ac:dyDescent="0.2">
      <c r="AG505" s="107"/>
    </row>
    <row r="506" spans="33:33" x14ac:dyDescent="0.2">
      <c r="AG506" s="107"/>
    </row>
    <row r="507" spans="33:33" x14ac:dyDescent="0.2">
      <c r="AG507" s="107"/>
    </row>
    <row r="508" spans="33:33" x14ac:dyDescent="0.2">
      <c r="AG508" s="107"/>
    </row>
    <row r="509" spans="33:33" x14ac:dyDescent="0.2">
      <c r="AG509" s="107"/>
    </row>
    <row r="510" spans="33:33" x14ac:dyDescent="0.2">
      <c r="AG510" s="107"/>
    </row>
    <row r="511" spans="33:33" x14ac:dyDescent="0.2">
      <c r="AG511" s="107"/>
    </row>
    <row r="512" spans="33:33" x14ac:dyDescent="0.2">
      <c r="AG512" s="107"/>
    </row>
    <row r="513" spans="33:33" x14ac:dyDescent="0.2">
      <c r="AG513" s="107"/>
    </row>
    <row r="514" spans="33:33" x14ac:dyDescent="0.2">
      <c r="AG514" s="107"/>
    </row>
    <row r="515" spans="33:33" x14ac:dyDescent="0.2">
      <c r="AG515" s="107"/>
    </row>
    <row r="516" spans="33:33" x14ac:dyDescent="0.2">
      <c r="AG516" s="107"/>
    </row>
    <row r="517" spans="33:33" x14ac:dyDescent="0.2">
      <c r="AG517" s="107"/>
    </row>
    <row r="518" spans="33:33" x14ac:dyDescent="0.2">
      <c r="AG518" s="107"/>
    </row>
    <row r="519" spans="33:33" x14ac:dyDescent="0.2">
      <c r="AG519" s="107"/>
    </row>
    <row r="520" spans="33:33" x14ac:dyDescent="0.2">
      <c r="AG520" s="107"/>
    </row>
    <row r="521" spans="33:33" x14ac:dyDescent="0.2">
      <c r="AG521" s="107"/>
    </row>
  </sheetData>
  <mergeCells count="71">
    <mergeCell ref="CE5:CE7"/>
    <mergeCell ref="CF5:CF7"/>
    <mergeCell ref="CG5:CG7"/>
    <mergeCell ref="BT5:BT7"/>
    <mergeCell ref="AU5:AU7"/>
    <mergeCell ref="AV5:AV7"/>
    <mergeCell ref="AW5:AW7"/>
    <mergeCell ref="AX5:AX7"/>
    <mergeCell ref="AY5:AY7"/>
    <mergeCell ref="AZ5:AZ7"/>
    <mergeCell ref="CB5:CB7"/>
    <mergeCell ref="CD5:CD7"/>
    <mergeCell ref="BA5:BA6"/>
    <mergeCell ref="BB5:BD5"/>
    <mergeCell ref="BE5:BG5"/>
    <mergeCell ref="BH5:BH7"/>
    <mergeCell ref="BI5:BI7"/>
    <mergeCell ref="BJ5:BJ7"/>
    <mergeCell ref="BK5:BK7"/>
    <mergeCell ref="BU5:BU7"/>
    <mergeCell ref="BY5:BY7"/>
    <mergeCell ref="BL5:BL7"/>
    <mergeCell ref="BM5:BM7"/>
    <mergeCell ref="BN5:BN7"/>
    <mergeCell ref="BO5:BO7"/>
    <mergeCell ref="BP5:BP7"/>
    <mergeCell ref="BQ5:BQ7"/>
    <mergeCell ref="M6:P6"/>
    <mergeCell ref="BZ5:BZ7"/>
    <mergeCell ref="CA5:CA7"/>
    <mergeCell ref="CC5:CC7"/>
    <mergeCell ref="A6:A7"/>
    <mergeCell ref="B6:B7"/>
    <mergeCell ref="C6:C7"/>
    <mergeCell ref="D6:D7"/>
    <mergeCell ref="E6:E7"/>
    <mergeCell ref="F6:F7"/>
    <mergeCell ref="G6:G7"/>
    <mergeCell ref="BR5:BR7"/>
    <mergeCell ref="BS5:BS7"/>
    <mergeCell ref="BV5:BV7"/>
    <mergeCell ref="BW5:BW7"/>
    <mergeCell ref="BX5:BX7"/>
    <mergeCell ref="H6:H7"/>
    <mergeCell ref="I6:I7"/>
    <mergeCell ref="J6:J7"/>
    <mergeCell ref="K6:K7"/>
    <mergeCell ref="L6:L7"/>
    <mergeCell ref="BA7:BE7"/>
    <mergeCell ref="AK6:AL6"/>
    <mergeCell ref="AM6:AM7"/>
    <mergeCell ref="AN6:AN7"/>
    <mergeCell ref="AO6:AO7"/>
    <mergeCell ref="AP6:AP7"/>
    <mergeCell ref="AQ6:AQ7"/>
    <mergeCell ref="A105:D105"/>
    <mergeCell ref="Q6:V6"/>
    <mergeCell ref="W6:X6"/>
    <mergeCell ref="AR6:AR7"/>
    <mergeCell ref="AS6:AS7"/>
    <mergeCell ref="AE6:AE7"/>
    <mergeCell ref="AF6:AF7"/>
    <mergeCell ref="AG6:AG7"/>
    <mergeCell ref="AH6:AH7"/>
    <mergeCell ref="AI6:AI7"/>
    <mergeCell ref="AJ6:AJ7"/>
    <mergeCell ref="Y6:Z6"/>
    <mergeCell ref="AA6:AA7"/>
    <mergeCell ref="AB6:AB7"/>
    <mergeCell ref="AC6:AC7"/>
    <mergeCell ref="AD6:AD7"/>
  </mergeCells>
  <conditionalFormatting sqref="E3:E5 E27:E1048576 E8:E25">
    <cfRule type="duplicateValues" dxfId="3" priority="17"/>
  </conditionalFormatting>
  <conditionalFormatting sqref="E26">
    <cfRule type="duplicateValues" dxfId="2" priority="2"/>
  </conditionalFormatting>
  <conditionalFormatting sqref="E26">
    <cfRule type="duplicateValues" dxfId="1" priority="3"/>
  </conditionalFormatting>
  <conditionalFormatting sqref="AA3:AA4">
    <cfRule type="duplicateValues" dxfId="0" priority="1"/>
  </conditionalFormatting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6" sqref="L2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СТ</vt:lpstr>
      <vt:lpstr>Sheet21</vt:lpstr>
    </vt:vector>
  </TitlesOfParts>
  <Company>SPC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Narangerel</dc:creator>
  <cp:lastModifiedBy>ITX</cp:lastModifiedBy>
  <cp:lastPrinted>2016-09-08T16:14:28Z</cp:lastPrinted>
  <dcterms:created xsi:type="dcterms:W3CDTF">2012-04-19T08:49:21Z</dcterms:created>
  <dcterms:modified xsi:type="dcterms:W3CDTF">2016-09-12T07:16:49Z</dcterms:modified>
</cp:coreProperties>
</file>